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3 Baler Place\"/>
    </mc:Choice>
  </mc:AlternateContent>
  <xr:revisionPtr revIDLastSave="0" documentId="13_ncr:1_{D3E51D7E-9203-4D52-A649-7FEFED29FCA7}" xr6:coauthVersionLast="47" xr6:coauthVersionMax="47" xr10:uidLastSave="{00000000-0000-0000-0000-000000000000}"/>
  <bookViews>
    <workbookView xWindow="-289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O20" i="21"/>
  <c r="O22" i="21"/>
  <c r="O23" i="21"/>
  <c r="O24" i="21"/>
  <c r="O25" i="21"/>
  <c r="O26" i="21"/>
  <c r="O27" i="21"/>
  <c r="O28" i="21"/>
  <c r="O29" i="21"/>
  <c r="O30" i="21"/>
  <c r="O31" i="21"/>
  <c r="O32" i="21"/>
  <c r="O33" i="21"/>
  <c r="O34" i="21"/>
  <c r="O35" i="21"/>
  <c r="O36" i="21"/>
  <c r="O21" i="21"/>
  <c r="G76" i="21"/>
  <c r="I18" i="21"/>
  <c r="I17" i="21"/>
  <c r="E99" i="4"/>
  <c r="AB50" i="15"/>
  <c r="E33" i="4" l="1"/>
  <c r="S33" i="4" s="1"/>
  <c r="E75" i="4"/>
  <c r="F31" i="4"/>
  <c r="F29" i="4"/>
  <c r="F30" i="4"/>
  <c r="S31" i="4"/>
  <c r="S30" i="4"/>
  <c r="S29" i="4"/>
  <c r="S10" i="4"/>
  <c r="E84" i="4"/>
  <c r="E85" i="4"/>
  <c r="E86" i="4"/>
  <c r="E87" i="4"/>
  <c r="E88" i="4"/>
  <c r="E89" i="4"/>
  <c r="E90" i="4"/>
  <c r="E91" i="4"/>
  <c r="E92" i="4"/>
  <c r="E94" i="4"/>
  <c r="E83" i="4"/>
  <c r="E80" i="4"/>
  <c r="E79" i="4"/>
  <c r="E69" i="4"/>
  <c r="E65" i="4"/>
  <c r="E60" i="4"/>
  <c r="E58" i="4"/>
  <c r="E46" i="4"/>
  <c r="E47" i="4"/>
  <c r="E48" i="4"/>
  <c r="E49" i="4"/>
  <c r="E50" i="4"/>
  <c r="E51" i="4"/>
  <c r="E52" i="4"/>
  <c r="E53" i="4"/>
  <c r="E45" i="4"/>
  <c r="E43" i="4"/>
  <c r="E40" i="4"/>
  <c r="E35" i="4"/>
  <c r="S35" i="4" s="1"/>
  <c r="C93" i="4"/>
  <c r="E93" i="4" s="1"/>
  <c r="E10" i="4"/>
  <c r="E4" i="4"/>
  <c r="M961" i="3"/>
  <c r="AA919" i="3"/>
  <c r="AA918" i="3"/>
  <c r="Q627" i="3"/>
  <c r="F34" i="4" l="1"/>
  <c r="E34" i="4" s="1"/>
  <c r="H306" i="3"/>
  <c r="H305" i="3"/>
  <c r="H304" i="3"/>
  <c r="H303" i="3"/>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9" i="13"/>
  <c r="E87" i="13"/>
  <c r="E79" i="13"/>
  <c r="F79" i="13" s="1"/>
  <c r="E50" i="13"/>
  <c r="F50" i="13" s="1"/>
  <c r="E47" i="13"/>
  <c r="F47" i="13" s="1"/>
  <c r="E46" i="13"/>
  <c r="F46" i="13" s="1"/>
  <c r="E45" i="13"/>
  <c r="F45" i="13" s="1"/>
  <c r="E41" i="13"/>
  <c r="E37" i="13"/>
  <c r="E35" i="13"/>
  <c r="F35" i="13" s="1"/>
  <c r="E33" i="13"/>
  <c r="F33"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B94" i="13"/>
  <c r="C94" i="13" s="1"/>
  <c r="B93" i="13"/>
  <c r="C93" i="13" s="1"/>
  <c r="B92" i="13"/>
  <c r="C92" i="13" s="1"/>
  <c r="B91" i="13"/>
  <c r="C91" i="13" s="1"/>
  <c r="B90" i="13"/>
  <c r="C90" i="13" s="1"/>
  <c r="B89" i="13"/>
  <c r="B88" i="13"/>
  <c r="B87" i="13"/>
  <c r="B86" i="13"/>
  <c r="C86" i="13" s="1"/>
  <c r="B85" i="13"/>
  <c r="C85" i="13" s="1"/>
  <c r="B84" i="13"/>
  <c r="C84" i="13" s="1"/>
  <c r="B83" i="13"/>
  <c r="C83" i="13" s="1"/>
  <c r="B79" i="13"/>
  <c r="C79" i="13" s="1"/>
  <c r="B76" i="13"/>
  <c r="B75" i="13"/>
  <c r="C75" i="13" s="1"/>
  <c r="C77" i="13" s="1"/>
  <c r="B74" i="13"/>
  <c r="B73" i="13"/>
  <c r="B72" i="13"/>
  <c r="B65" i="13"/>
  <c r="C65" i="13" s="1"/>
  <c r="B61" i="13"/>
  <c r="B60" i="13"/>
  <c r="C60" i="13" s="1"/>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8" i="13"/>
  <c r="D8" i="13"/>
  <c r="T104" i="4"/>
  <c r="H104" i="13" s="1"/>
  <c r="R103" i="4"/>
  <c r="R102" i="4"/>
  <c r="R101" i="4"/>
  <c r="R99" i="4"/>
  <c r="S99" i="4" s="1"/>
  <c r="E99" i="13" s="1"/>
  <c r="F99" i="13" s="1"/>
  <c r="F104" i="13" s="1"/>
  <c r="R95" i="4"/>
  <c r="R94" i="4"/>
  <c r="S94" i="4" s="1"/>
  <c r="E94" i="13" s="1"/>
  <c r="F94" i="13" s="1"/>
  <c r="R93" i="4"/>
  <c r="S93" i="4" s="1"/>
  <c r="E93" i="13" s="1"/>
  <c r="F93" i="13" s="1"/>
  <c r="R92" i="4"/>
  <c r="S92" i="4" s="1"/>
  <c r="E92" i="13" s="1"/>
  <c r="F92" i="13" s="1"/>
  <c r="R90" i="4"/>
  <c r="S90" i="4" s="1"/>
  <c r="E90" i="13" s="1"/>
  <c r="F90" i="13" s="1"/>
  <c r="R89" i="4"/>
  <c r="R88" i="4"/>
  <c r="R87" i="4"/>
  <c r="R86" i="4"/>
  <c r="S86" i="4" s="1"/>
  <c r="E86" i="13" s="1"/>
  <c r="F86" i="13"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S51" i="4" s="1"/>
  <c r="E51" i="13" s="1"/>
  <c r="F51" i="13" s="1"/>
  <c r="R50" i="4"/>
  <c r="R49" i="4"/>
  <c r="S49" i="4" s="1"/>
  <c r="R48" i="4"/>
  <c r="S48" i="4" s="1"/>
  <c r="E48" i="13" s="1"/>
  <c r="F48" i="13" s="1"/>
  <c r="R47" i="4"/>
  <c r="R46" i="4"/>
  <c r="R45" i="4"/>
  <c r="R43" i="4"/>
  <c r="S43" i="4" s="1"/>
  <c r="E43" i="13" s="1"/>
  <c r="F43" i="13" s="1"/>
  <c r="R41" i="4"/>
  <c r="R40" i="4"/>
  <c r="S40" i="4" s="1"/>
  <c r="E40" i="13" s="1"/>
  <c r="F40" i="13" s="1"/>
  <c r="F42" i="13" s="1"/>
  <c r="R37" i="4"/>
  <c r="R35" i="4"/>
  <c r="R34" i="4"/>
  <c r="S34" i="4" s="1"/>
  <c r="E34" i="13" s="1"/>
  <c r="F34" i="13" s="1"/>
  <c r="R33" i="4"/>
  <c r="R32" i="4"/>
  <c r="S32" i="4" s="1"/>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I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C70" i="13" l="1"/>
  <c r="C81" i="13"/>
  <c r="D103" i="11"/>
  <c r="D87" i="11"/>
  <c r="B26" i="4"/>
  <c r="D93" i="11"/>
  <c r="S38" i="4"/>
  <c r="E38" i="13" s="1"/>
  <c r="C62" i="13"/>
  <c r="S81" i="4"/>
  <c r="E81" i="13" s="1"/>
  <c r="F70" i="13"/>
  <c r="J8" i="8"/>
  <c r="D86" i="11"/>
  <c r="D85" i="11"/>
  <c r="S70" i="4"/>
  <c r="E70" i="13" s="1"/>
  <c r="E32" i="13"/>
  <c r="F32" i="13" s="1"/>
  <c r="F38" i="13" s="1"/>
  <c r="C38" i="13"/>
  <c r="S54" i="4"/>
  <c r="E54" i="13" s="1"/>
  <c r="C96" i="13"/>
  <c r="C54" i="13"/>
  <c r="S96" i="4"/>
  <c r="E96" i="13" s="1"/>
  <c r="F81" i="13"/>
  <c r="F96" i="13"/>
  <c r="S42" i="4"/>
  <c r="E42" i="13" s="1"/>
  <c r="E49" i="13"/>
  <c r="F49" i="13" s="1"/>
  <c r="F54" i="13" s="1"/>
  <c r="D6" i="11"/>
  <c r="J6" i="8"/>
  <c r="D36" i="11"/>
  <c r="D35" i="11"/>
  <c r="D34" i="11"/>
  <c r="S104" i="4"/>
  <c r="E104" i="13" s="1"/>
  <c r="D33" i="11"/>
  <c r="D32" i="11"/>
  <c r="D101"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7"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BA1058" i="3"/>
  <c r="D82" i="11"/>
  <c r="S63" i="4"/>
  <c r="S97" i="4" s="1"/>
  <c r="N195" i="23"/>
  <c r="F63" i="13"/>
  <c r="F97" i="13" s="1"/>
  <c r="F105" i="13" s="1"/>
  <c r="F107" i="13" s="1"/>
  <c r="J40" i="8"/>
  <c r="Z809" i="3" s="1"/>
  <c r="E6" i="7" s="1"/>
  <c r="D43" i="11"/>
  <c r="D71"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3" i="13" l="1"/>
  <c r="P23" i="21" a="1"/>
  <c r="P23" i="21" s="1"/>
  <c r="S23" i="21" s="1"/>
  <c r="P22" i="21" a="1"/>
  <c r="P22" i="21" s="1"/>
  <c r="S22" i="21" s="1"/>
  <c r="P21" i="2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C554" authorId="0" shapeId="0" xr:uid="{464E9940-C6D3-48D6-AD96-8E27DAA8A7C7}">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<sst xmlns="http://schemas.openxmlformats.org/spreadsheetml/2006/main" count="4986" uniqueCount="2748">
  <si>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</si>
  <si>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</si>
  <si>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</si>
  <si>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</si>
  <si>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</si>
  <si>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</si>
  <si>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</si>
  <si>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</si>
  <si>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</si>
  <si>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</si>
  <si>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</si>
  <si>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</si>
  <si>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</si>
  <si>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</si>
  <si>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</si>
  <si>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</si>
  <si>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</si>
  <si>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</si>
  <si>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</si>
  <si>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</si>
  <si>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</si>
  <si>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</si>
  <si>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</si>
  <si>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</si>
  <si>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</si>
  <si>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</si>
  <si>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</si>
  <si>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</si>
  <si>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</si>
  <si>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</si>
  <si>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</si>
  <si>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</si>
  <si>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</si>
  <si>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</si>
  <si>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</si>
  <si>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</si>
  <si>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</si>
  <si>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</si>
  <si>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</si>
  <si>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</si>
  <si>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</si>
  <si>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</si>
  <si>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</si>
  <si>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</si>
  <si>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</si>
  <si>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</si>
  <si>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</si>
  <si>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</si>
  <si>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</si>
  <si>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</si>
  <si>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</si>
  <si>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</si>
  <si>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</si>
  <si>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</si>
  <si>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</si>
  <si>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</si>
  <si>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</si>
  <si>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</si>
  <si>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</si>
  <si>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</si>
  <si>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</si>
  <si>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</si>
  <si>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</si>
  <si>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</si>
  <si>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</si>
  <si>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</si>
  <si>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</si>
  <si>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</si>
  <si>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</si>
  <si>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</si>
  <si>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</si>
  <si>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</si>
  <si>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</si>
  <si>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</si>
  <si>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</si>
  <si>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</si>
  <si>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</si>
  <si>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</si>
  <si>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</si>
  <si>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</si>
  <si>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</si>
  <si>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</si>
  <si>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</si>
  <si>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</si>
  <si>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</si>
  <si>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</si>
  <si>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</si>
  <si>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</si>
  <si>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</si>
  <si>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</si>
  <si>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</si>
  <si>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</si>
  <si>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</si>
  <si>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</si>
  <si>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</si>
  <si>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</si>
  <si>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</si>
  <si>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</si>
  <si>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</si>
  <si>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</si>
  <si>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</si>
  <si>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</si>
  <si>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</si>
  <si>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</si>
  <si>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</si>
  <si>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</si>
  <si>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</si>
  <si>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</si>
  <si>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</si>
  <si>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</si>
  <si>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</si>
  <si>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</si>
  <si>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</si>
  <si>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</si>
  <si>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</si>
  <si>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</si>
  <si>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</si>
  <si>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</si>
  <si>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</si>
  <si>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</si>
  <si>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</si>
  <si>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</si>
  <si>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</si>
  <si>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</si>
  <si>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</si>
  <si>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</si>
  <si>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</si>
  <si>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</si>
  <si>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</si>
  <si>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</si>
  <si>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</si>
  <si>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</si>
  <si>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</si>
  <si>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</si>
  <si>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</si>
  <si>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</si>
  <si>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</si>
  <si>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</si>
  <si>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</si>
  <si>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</si>
  <si>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</si>
  <si>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</si>
  <si>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</si>
  <si>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</si>
  <si>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</si>
  <si>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</si>
  <si>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</si>
  <si>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</si>
  <si>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</si>
  <si>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</si>
  <si>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</si>
  <si>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</si>
  <si>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</si>
  <si>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</si>
  <si>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</si>
  <si>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</si>
  <si>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</si>
  <si>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</si>
  <si>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</si>
  <si>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</si>
  <si>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</si>
  <si>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</si>
  <si>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</si>
  <si>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</si>
  <si>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</si>
  <si>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</si>
  <si>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</si>
  <si>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</si>
  <si>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</si>
  <si>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</si>
  <si>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</si>
  <si>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</si>
  <si>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</si>
  <si>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</si>
  <si>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</si>
  <si>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</si>
  <si>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</si>
  <si>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</si>
  <si>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</si>
  <si>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</si>
  <si>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</si>
  <si>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</si>
  <si>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</si>
  <si>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</si>
  <si>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</si>
  <si>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</si>
  <si>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</si>
  <si>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</si>
  <si>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</si>
  <si>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</si>
  <si>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</si>
  <si>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</si>
  <si>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</si>
  <si>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</si>
  <si>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</si>
  <si>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</si>
  <si>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</si>
  <si>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</si>
  <si>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</si>
  <si>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</si>
  <si>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</si>
  <si>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</si>
  <si>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</si>
  <si>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</si>
  <si>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</si>
  <si>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</si>
  <si>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</si>
  <si>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</si>
  <si>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</si>
  <si>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</si>
  <si>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</si>
  <si>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</si>
  <si>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</si>
  <si>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</si>
  <si>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</si>
  <si>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</si>
  <si>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</si>
  <si>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</si>
  <si>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</si>
  <si>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</si>
  <si>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</si>
  <si>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</si>
  <si>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</si>
  <si>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</si>
  <si>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</si>
  <si>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</si>
  <si>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</si>
  <si>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</si>
  <si>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</si>
  <si>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</si>
  <si>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</si>
  <si>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</si>
  <si>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</si>
  <si>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</si>
  <si>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</si>
  <si>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</si>
  <si>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</si>
  <si>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</si>
  <si>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</si>
  <si>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</si>
  <si>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</si>
  <si>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</si>
  <si>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</si>
  <si>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</si>
  <si>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</si>
  <si>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</si>
  <si>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</si>
  <si>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</si>
  <si>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</si>
  <si>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</si>
  <si>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</si>
  <si>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</si>
  <si>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</si>
  <si>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</si>
  <si>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</si>
  <si>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</si>
  <si>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</si>
  <si>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</si>
  <si>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</si>
  <si>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</si>
  <si>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</si>
  <si>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</si>
  <si>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</si>
  <si>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</si>
  <si>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</si>
  <si>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</si>
  <si>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</si>
  <si>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</si>
  <si>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</si>
  <si>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</si>
  <si>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</si>
  <si>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</si>
  <si>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</si>
  <si>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</si>
  <si>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</si>
  <si>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</si>
  <si>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</si>
  <si>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</si>
  <si>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</si>
  <si>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</si>
  <si>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</si>
  <si>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</si>
  <si>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</si>
  <si>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</si>
  <si>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</si>
  <si>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</si>
  <si>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</si>
  <si>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</si>
  <si>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</si>
  <si>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</si>
  <si>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</si>
  <si>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</si>
  <si>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</si>
  <si>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</si>
  <si>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</si>
  <si>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</si>
  <si>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</si>
  <si>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</si>
  <si>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</si>
  <si>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</si>
  <si>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</si>
  <si>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</si>
  <si>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</si>
  <si>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</si>
  <si>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</si>
  <si>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</si>
  <si>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</si>
  <si>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</si>
  <si>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</si>
  <si>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</si>
  <si>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</si>
  <si>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</si>
  <si>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</si>
  <si>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</si>
  <si>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</si>
  <si>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</si>
  <si>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</si>
  <si>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</si>
  <si>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</si>
  <si>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</si>
  <si>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</si>
  <si>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</si>
  <si>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</si>
  <si>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</si>
  <si>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</si>
  <si>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</si>
  <si>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</si>
  <si>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</si>
  <si>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</si>
  <si>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</si>
  <si>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</si>
  <si>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</si>
  <si>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</si>
  <si>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</si>
  <si>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</si>
  <si>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</si>
  <si>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</si>
  <si>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</si>
  <si>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</si>
  <si>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</si>
  <si>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</si>
  <si>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</si>
  <si>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</si>
  <si>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</si>
  <si>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</si>
  <si>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</si>
  <si>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</si>
  <si>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</si>
  <si>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</si>
  <si>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</si>
  <si>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</si>
  <si>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</si>
  <si>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</si>
  <si>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</si>
  <si>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</si>
  <si>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</si>
  <si>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</si>
  <si>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</si>
  <si>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</si>
  <si>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</si>
  <si>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</si>
  <si>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</si>
  <si>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</si>
  <si>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</si>
  <si>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</si>
  <si>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</si>
  <si>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</si>
  <si>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</si>
  <si>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</si>
  <si>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</si>
  <si>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</si>
  <si>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</si>
  <si>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</si>
  <si>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</si>
  <si>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</si>
  <si>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</si>
  <si>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</si>
  <si>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</si>
  <si>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</si>
  <si>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</si>
  <si>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</si>
  <si>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</si>
  <si>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</si>
  <si>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</si>
  <si>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</si>
  <si>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</si>
  <si>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</si>
  <si>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</si>
  <si>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</si>
  <si>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</si>
  <si>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</si>
  <si>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</si>
  <si>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</si>
  <si>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</si>
  <si>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</si>
  <si>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</si>
  <si>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</si>
  <si>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</si>
  <si>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</si>
  <si>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</si>
  <si>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</si>
  <si>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</si>
  <si>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</si>
  <si>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</si>
  <si>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</si>
  <si>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</si>
  <si>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</si>
  <si>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</si>
  <si>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</si>
  <si>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</si>
  <si>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</si>
  <si>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</si>
  <si>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</si>
  <si>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</si>
  <si>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</si>
  <si>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</si>
  <si>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</si>
  <si>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</si>
  <si>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</si>
  <si>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</si>
  <si>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</si>
  <si>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</si>
  <si>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</si>
  <si>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</si>
  <si>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</si>
  <si>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</si>
  <si>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</si>
  <si>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</si>
  <si>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</si>
  <si>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</si>
  <si>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</si>
  <si>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</si>
  <si>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</si>
  <si>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</si>
  <si>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</si>
  <si>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</si>
  <si>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</si>
  <si>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</si>
  <si>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</si>
  <si>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</si>
  <si>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</si>
  <si>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</si>
  <si>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</si>
  <si>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</si>
  <si>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</si>
  <si>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</si>
  <si>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</si>
  <si>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</si>
  <si>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</si>
  <si>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</si>
  <si>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</si>
  <si>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</si>
  <si>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</si>
  <si>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</si>
  <si>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</si>
  <si>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</si>
  <si>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</si>
  <si>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</si>
  <si>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</si>
  <si>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</si>
  <si>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</si>
  <si>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</si>
  <si>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</si>
  <si>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</si>
  <si>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</si>
  <si>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</si>
  <si>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</si>
  <si>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</si>
  <si>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</si>
  <si>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</si>
  <si>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</si>
  <si>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</si>
  <si>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</si>
  <si>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</si>
  <si>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</si>
  <si>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</si>
  <si>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</si>
  <si>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</si>
  <si>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</si>
  <si>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</si>
  <si>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</si>
  <si>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</si>
  <si>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</si>
  <si>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</si>
  <si>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</si>
  <si>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</si>
  <si>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</si>
  <si>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</si>
  <si>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</si>
  <si>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</si>
  <si>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</si>
  <si>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</si>
  <si>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</si>
  <si>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</si>
  <si>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</si>
  <si>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</si>
  <si>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</si>
  <si>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</si>
  <si>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</si>
  <si>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</si>
  <si>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</si>
  <si>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</si>
  <si>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</si>
  <si>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</si>
  <si>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</si>
  <si>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</si>
  <si>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</si>
  <si>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</si>
  <si>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</si>
  <si>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</si>
  <si>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</si>
  <si>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</si>
  <si>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</si>
  <si>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</si>
  <si>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</si>
  <si>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</si>
  <si>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</si>
  <si>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</si>
  <si>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</si>
  <si>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</si>
  <si>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</si>
  <si>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</si>
  <si>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</si>
  <si>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</si>
  <si>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</si>
  <si>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</si>
  <si>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</si>
  <si>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</si>
  <si>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</si>
  <si>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</si>
  <si>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</si>
  <si>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</si>
  <si>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</si>
  <si>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</si>
  <si>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</si>
  <si>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</si>
  <si>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</si>
  <si>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</si>
  <si>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</si>
  <si>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</si>
  <si>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</si>
  <si>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</si>
  <si>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</si>
  <si>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</si>
  <si>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</si>
  <si>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</si>
  <si>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</si>
  <si>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</si>
  <si>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</si>
  <si>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</si>
  <si>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</si>
  <si>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</si>
  <si>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</si>
  <si>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</si>
  <si>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</si>
  <si>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</si>
  <si>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</si>
  <si>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</si>
  <si>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</si>
  <si>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</si>
  <si>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</si>
  <si>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</si>
  <si>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</si>
  <si>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</si>
  <si>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</si>
  <si>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</si>
  <si>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</si>
  <si>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</si>
  <si>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</si>
  <si>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</si>
  <si>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</si>
  <si>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</si>
  <si>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</si>
  <si>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</si>
  <si>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</si>
  <si>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</si>
  <si>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</si>
  <si>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</si>
  <si>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</si>
  <si>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</si>
  <si>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</si>
  <si>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</si>
  <si>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</si>
  <si>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</si>
  <si>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</si>
  <si>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</si>
  <si>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</si>
  <si>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</si>
  <si>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</si>
  <si>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</si>
  <si>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</si>
  <si>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</si>
  <si>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</si>
  <si>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</si>
  <si>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</si>
  <si>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</si>
  <si>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</si>
  <si>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</si>
  <si>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</si>
  <si>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</si>
  <si>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</si>
  <si>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</si>
  <si>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</si>
  <si>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</si>
  <si>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</si>
  <si>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</si>
  <si>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</si>
  <si>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</si>
  <si>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</si>
  <si>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</si>
  <si>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</si>
  <si>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</si>
  <si>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</si>
  <si>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</si>
  <si>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</si>
  <si>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</si>
  <si>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</si>
  <si>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</si>
  <si>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</si>
  <si>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</si>
  <si>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</si>
  <si>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</si>
  <si>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</si>
  <si>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</si>
  <si>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</si>
  <si>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</si>
  <si>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</si>
  <si>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</si>
  <si>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</si>
  <si>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</si>
  <si>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</si>
  <si>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</si>
  <si>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</si>
  <si>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</si>
  <si>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</si>
  <si>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</si>
  <si>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</si>
  <si>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</si>
  <si>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</si>
  <si>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</si>
  <si>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</si>
  <si>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</si>
  <si>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</si>
  <si>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</si>
  <si>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</si>
  <si>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</si>
  <si>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</si>
  <si>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</si>
  <si>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</si>
  <si>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</si>
  <si>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</si>
  <si>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</si>
  <si>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</si>
  <si>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</si>
  <si>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</si>
  <si>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</si>
  <si>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</si>
  <si>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</si>
  <si>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</si>
  <si>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</si>
  <si>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</si>
  <si>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</si>
  <si>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</si>
  <si>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</si>
  <si>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</si>
  <si>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</si>
  <si>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</si>
  <si>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CRP Baler Place LP</t>
  </si>
  <si>
    <t>MIP Amount</t>
  </si>
  <si>
    <t>PROJECT NAME:</t>
  </si>
  <si>
    <t>Baler Place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</si>
  <si>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</si>
  <si>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</si>
  <si>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</si>
  <si>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</si>
  <si>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</si>
  <si>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</si>
  <si>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</si>
  <si>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</si>
  <si>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</si>
  <si>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</si>
  <si>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</si>
  <si>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</si>
  <si>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</si>
  <si>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</si>
  <si>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</si>
  <si>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</si>
  <si>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</si>
  <si>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</si>
  <si>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</si>
  <si>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</si>
  <si>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</si>
  <si>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</si>
  <si>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</si>
  <si>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</si>
  <si>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</si>
  <si>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</si>
  <si>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</si>
  <si>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</si>
  <si>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</si>
  <si>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</si>
  <si>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</si>
  <si>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</si>
  <si>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</si>
  <si>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</si>
  <si>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</si>
  <si>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</si>
  <si>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</si>
  <si>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</si>
  <si>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</si>
  <si>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</si>
  <si>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</si>
  <si>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</si>
  <si>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</si>
  <si>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</si>
  <si>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</si>
  <si>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</si>
  <si>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</si>
  <si>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</si>
  <si>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</si>
  <si>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</si>
  <si>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</si>
  <si>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</si>
  <si>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</si>
  <si>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</si>
  <si>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</si>
  <si>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</si>
  <si>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</si>
  <si>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</si>
  <si>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</si>
  <si>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</si>
  <si>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</si>
  <si>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</si>
  <si>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</si>
  <si>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</si>
  <si>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</si>
  <si>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</si>
  <si>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</si>
  <si>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</si>
  <si>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</si>
  <si>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</si>
  <si>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</si>
  <si>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</si>
  <si>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</si>
  <si>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</si>
  <si>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</si>
  <si>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</si>
  <si>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</si>
  <si>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</si>
  <si>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</si>
  <si>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</si>
  <si>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</si>
  <si>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</si>
  <si>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</si>
  <si>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</si>
  <si>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</si>
  <si>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</si>
  <si>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</si>
  <si>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</si>
  <si>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</si>
  <si>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</si>
  <si>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</si>
  <si>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</si>
  <si>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</si>
  <si>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</si>
  <si>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</si>
  <si>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</si>
  <si>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</si>
  <si>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</si>
  <si>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</si>
  <si>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</si>
  <si>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</si>
  <si>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</si>
  <si>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</si>
  <si>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</si>
  <si>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</si>
  <si>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</si>
  <si>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</si>
  <si>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</si>
  <si>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</si>
  <si>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</si>
  <si>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</si>
  <si>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</si>
  <si>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</si>
  <si>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</si>
  <si>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</si>
  <si>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</si>
  <si>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 California.</t>
  </si>
  <si>
    <t xml:space="preserve">By: </t>
  </si>
  <si>
    <t>(Original Signature)</t>
  </si>
  <si>
    <t>Robert Laing</t>
  </si>
  <si>
    <t>(Typed or printed name)</t>
  </si>
  <si>
    <t xml:space="preserve">Application type: </t>
  </si>
  <si>
    <t>4%</t>
  </si>
  <si>
    <t xml:space="preserve">Please select your county: </t>
  </si>
  <si>
    <t>Authorized Signatory</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</si>
  <si>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</si>
  <si>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</si>
  <si>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</si>
  <si>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</si>
  <si>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</si>
  <si>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</si>
  <si>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</si>
  <si>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Redevelopment Program</t>
  </si>
  <si>
    <t>Inland (Fresno, Imperial, Kern, Kings, Madera, Merced, Riverside, San Bernardino, Stanislaus, and Tulare Counties)</t>
  </si>
  <si>
    <t>4% 2025 TBLs</t>
  </si>
  <si>
    <t>9% 2025 TBLs</t>
  </si>
  <si>
    <t>City Manager:</t>
  </si>
  <si>
    <t>William Aviera</t>
  </si>
  <si>
    <t>Northern (Butte, El Dorado, Placer, Sacramento, San Joaquin, Shasta, Solano, Sutter, Yuba, and Yolo Counties)</t>
  </si>
  <si>
    <t>Title:</t>
  </si>
  <si>
    <t>City Manager</t>
  </si>
  <si>
    <t xml:space="preserve">Mailing Address: </t>
  </si>
  <si>
    <t>375 Fifth Street</t>
  </si>
  <si>
    <t>2024 100% RENTS</t>
  </si>
  <si>
    <t>2024 FAIR MARKET RENTS</t>
  </si>
  <si>
    <t xml:space="preserve">City: </t>
  </si>
  <si>
    <t>Hollister</t>
  </si>
  <si>
    <t>ALAMEDA</t>
  </si>
  <si>
    <t>Alameda</t>
  </si>
  <si>
    <t>California Tax Credit Allocation Committee</t>
  </si>
  <si>
    <t>Housing and Urban Development</t>
  </si>
  <si>
    <t xml:space="preserve">Zip Code: </t>
  </si>
  <si>
    <t>ALPINE</t>
  </si>
  <si>
    <t>Alpine</t>
  </si>
  <si>
    <t>Phone Number:</t>
  </si>
  <si>
    <t>(831) 636-4386</t>
  </si>
  <si>
    <t>Ext.</t>
  </si>
  <si>
    <t>AMADOR</t>
  </si>
  <si>
    <t>Amador</t>
  </si>
  <si>
    <t>County</t>
  </si>
  <si>
    <t>SRO/Studio</t>
  </si>
  <si>
    <t>1 Bedroom</t>
  </si>
  <si>
    <t>2 Bedrooms</t>
  </si>
  <si>
    <t>3 Bedrooms</t>
  </si>
  <si>
    <t>4 Bedrooms</t>
  </si>
  <si>
    <t>5 Bedrooms</t>
  </si>
  <si>
    <t>SRO/STUDIO</t>
  </si>
  <si>
    <t>4+ Bedrooms</t>
  </si>
  <si>
    <t xml:space="preserve">FAX Number: </t>
  </si>
  <si>
    <t>(831) 636-4364</t>
  </si>
  <si>
    <t>BUTTE</t>
  </si>
  <si>
    <t>Butte</t>
  </si>
  <si>
    <t xml:space="preserve">E-mail: </t>
  </si>
  <si>
    <t>citymanager@hollister.ca.gov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</si>
  <si>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</si>
  <si>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</si>
  <si>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</si>
  <si>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</si>
  <si>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</si>
  <si>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</si>
  <si>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</si>
  <si>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</si>
  <si>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</si>
  <si>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</si>
  <si>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</si>
  <si>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</si>
  <si>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</si>
  <si>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</si>
  <si>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</si>
  <si>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</si>
  <si>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</si>
  <si>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</si>
  <si>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</si>
  <si>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</si>
  <si>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</si>
  <si>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</si>
  <si>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</si>
  <si>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</si>
  <si>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</si>
  <si>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</si>
  <si>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</si>
  <si>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</si>
  <si>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</si>
  <si>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</si>
  <si>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</si>
  <si>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</si>
  <si>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</si>
  <si>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</si>
  <si>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</si>
  <si>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</si>
  <si>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</si>
  <si>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</si>
  <si>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</si>
  <si>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</si>
  <si>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</si>
  <si>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</si>
  <si>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</si>
  <si>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</si>
  <si>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</si>
  <si>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</si>
  <si>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</si>
  <si>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</si>
  <si>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</si>
  <si>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</si>
  <si>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</si>
  <si>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</si>
  <si>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</si>
  <si>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</si>
  <si>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</si>
  <si>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</si>
  <si>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</si>
  <si>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</si>
  <si>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</si>
  <si>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</si>
  <si>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</si>
  <si>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</si>
  <si>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</si>
  <si>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</si>
  <si>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</si>
  <si>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</si>
  <si>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</si>
  <si>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</si>
  <si>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</si>
  <si>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</si>
  <si>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</si>
  <si>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</si>
  <si>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</si>
  <si>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</si>
  <si>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</si>
  <si>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</si>
  <si>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340 Bridgevale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</si>
  <si>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</si>
  <si>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</si>
  <si>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</si>
  <si>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</si>
  <si>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</si>
  <si>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</si>
  <si>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</si>
  <si>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</si>
  <si>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</si>
  <si>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</si>
  <si>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</si>
  <si>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</si>
  <si>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Benito</t>
  </si>
  <si>
    <t>RIVERSIDE</t>
  </si>
  <si>
    <t>Riverside</t>
  </si>
  <si>
    <t>Zip Code:</t>
  </si>
  <si>
    <t>Census Tract:</t>
  </si>
  <si>
    <t>06-069-000300</t>
  </si>
  <si>
    <t>Large Family</t>
  </si>
  <si>
    <t>SACRAMENTO</t>
  </si>
  <si>
    <t>Sacramento</t>
  </si>
  <si>
    <t>Assessor's Parcel Number(s):</t>
  </si>
  <si>
    <t>019-240-031
019-240-032</t>
  </si>
  <si>
    <t>Seniors</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</si>
  <si>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</si>
  <si>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</si>
  <si>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</si>
  <si>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</si>
  <si>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</si>
  <si>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</si>
  <si>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</si>
  <si>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</si>
  <si>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</si>
  <si>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</si>
  <si>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</si>
  <si>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</si>
  <si>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</si>
  <si>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</si>
  <si>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</si>
  <si>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</si>
  <si>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</si>
  <si>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</si>
  <si>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</si>
  <si>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</si>
  <si>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</si>
  <si>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</si>
  <si>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</si>
  <si>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</si>
  <si>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</si>
  <si>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</si>
  <si>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</si>
  <si>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</si>
  <si>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</si>
  <si>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</si>
  <si>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</si>
  <si>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</si>
  <si>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</si>
  <si>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</si>
  <si>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</si>
  <si>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</si>
  <si>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</si>
  <si>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</si>
  <si>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</si>
  <si>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</si>
  <si>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</si>
  <si>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</si>
  <si>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</si>
  <si>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</si>
  <si>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</si>
  <si>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</si>
  <si>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</si>
  <si>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</si>
  <si>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</si>
  <si>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</si>
  <si>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</si>
  <si>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</si>
  <si>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</si>
  <si>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</si>
  <si>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</si>
  <si>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</si>
  <si>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</si>
  <si>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</si>
  <si>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</si>
  <si>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</si>
  <si>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</si>
  <si>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</si>
  <si>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</si>
  <si>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</si>
  <si>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</si>
  <si>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</si>
  <si>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</si>
  <si>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</si>
  <si>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</si>
  <si>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</si>
  <si>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</si>
  <si>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</si>
  <si>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</si>
  <si>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</si>
  <si>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</si>
  <si>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</si>
  <si>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</si>
  <si>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</si>
  <si>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</si>
  <si>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</si>
  <si>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</si>
  <si>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</si>
  <si>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</si>
  <si>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</si>
  <si>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</si>
  <si>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</si>
  <si>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</si>
  <si>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</si>
  <si>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</si>
  <si>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</si>
  <si>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</si>
  <si>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</si>
  <si>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</si>
  <si>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</si>
  <si>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</si>
  <si>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</si>
  <si>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</si>
  <si>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</si>
  <si>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</si>
  <si>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</si>
  <si>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</si>
  <si>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</si>
  <si>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</si>
  <si>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</si>
  <si>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</si>
  <si>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</si>
  <si>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</si>
  <si>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</si>
  <si>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</si>
  <si>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</si>
  <si>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</si>
  <si>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</si>
  <si>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</si>
  <si>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</si>
  <si>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</si>
  <si>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</si>
  <si>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</si>
  <si>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</si>
  <si>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</si>
  <si>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</si>
  <si>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122 East 42nd St, Suite 1903</t>
  </si>
  <si>
    <t>New York</t>
  </si>
  <si>
    <t>State:</t>
  </si>
  <si>
    <t>NY</t>
  </si>
  <si>
    <t>Contact Person:</t>
  </si>
  <si>
    <t>Paul Salib</t>
  </si>
  <si>
    <t>Phone:</t>
  </si>
  <si>
    <t>212-776-1914</t>
  </si>
  <si>
    <t>Ext.:</t>
  </si>
  <si>
    <t>Fax:</t>
  </si>
  <si>
    <t>both nonprofits</t>
  </si>
  <si>
    <t xml:space="preserve">Email: </t>
  </si>
  <si>
    <t>psalib@crpaffordable.com</t>
  </si>
  <si>
    <t>Legal Status of Applicant:</t>
  </si>
  <si>
    <t>Parent Company:</t>
  </si>
  <si>
    <t>CRP Affordable Housing and Community Development LLC</t>
  </si>
  <si>
    <t>If Other, Specify:</t>
  </si>
  <si>
    <t>both for-profit</t>
  </si>
  <si>
    <t>General Partner(s) Information (post-closing GPs):</t>
  </si>
  <si>
    <t>D(1)</t>
  </si>
  <si>
    <t>General Partner Name:</t>
  </si>
  <si>
    <t>PSCDC Baler LLC</t>
  </si>
  <si>
    <t>Managing GP</t>
  </si>
  <si>
    <t xml:space="preserve">16935 West Bernardo Drive, Suite 238 </t>
  </si>
  <si>
    <t>OWNERSHIP</t>
  </si>
  <si>
    <t>Nonprofit</t>
  </si>
  <si>
    <t>CA</t>
  </si>
  <si>
    <t>INTEREST (%):</t>
  </si>
  <si>
    <t>currently exists</t>
  </si>
  <si>
    <t>to be formed</t>
  </si>
  <si>
    <t>For Profit</t>
  </si>
  <si>
    <t>858-675-0506</t>
  </si>
  <si>
    <t>robertlaing@pswcdc.org</t>
  </si>
  <si>
    <t>Nonprofit/For Profit:</t>
  </si>
  <si>
    <t>Pacific Southwest Community Development Corporation</t>
  </si>
  <si>
    <t>D(2)</t>
  </si>
  <si>
    <t>General Partner Name:*</t>
  </si>
  <si>
    <t>CRP Baler Place AGP LLC</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</si>
  <si>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</si>
  <si>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</si>
  <si>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</si>
  <si>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</si>
  <si>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</si>
  <si>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</si>
  <si>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</si>
  <si>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</si>
  <si>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</si>
  <si>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</si>
  <si>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122 East 42 nd ST, STE 1903</t>
  </si>
  <si>
    <t>Seth Sterneck</t>
  </si>
  <si>
    <t>ssterneck@crpaffordable.com</t>
  </si>
  <si>
    <t>Participatory Role:</t>
  </si>
  <si>
    <t>Developer</t>
  </si>
  <si>
    <t>(e.g., General Partner, Consultant, etc.)</t>
  </si>
  <si>
    <t>II. APPLICATION - SECTION 4: DEVELOPMENT TEAM INFORMATION</t>
  </si>
  <si>
    <t>Indicate and List All Development Team Members</t>
  </si>
  <si>
    <t>Developer:</t>
  </si>
  <si>
    <t>CRP Affordable Housing &amp; Community Development LLC</t>
  </si>
  <si>
    <t>Architect:</t>
  </si>
  <si>
    <t>STUDIO T SQUARE</t>
  </si>
  <si>
    <t>Address:</t>
  </si>
  <si>
    <t>4429 Morena Boulevard, Suite A</t>
  </si>
  <si>
    <t>1970 Broadway, Suite 408</t>
  </si>
  <si>
    <t>City, State, Zip</t>
  </si>
  <si>
    <t>San Diego , CA, 92117</t>
  </si>
  <si>
    <t>City, State, Zip:</t>
  </si>
  <si>
    <t>Oakland, CA 94612</t>
  </si>
  <si>
    <t>Howai Lai</t>
  </si>
  <si>
    <t>(510) 451 - 2850</t>
  </si>
  <si>
    <t>Email:</t>
  </si>
  <si>
    <t>Attorney:</t>
  </si>
  <si>
    <t>Hobson Bernadino+ Davis LLP</t>
  </si>
  <si>
    <t>General Contractor:</t>
  </si>
  <si>
    <t>Ironcore Construction LLC</t>
  </si>
  <si>
    <t>6060 Center Drive, Floor 10</t>
  </si>
  <si>
    <t>Los Angeles, CA 90045</t>
  </si>
  <si>
    <t>San Diego, CA, 92104</t>
  </si>
  <si>
    <t>Jason Hobson</t>
  </si>
  <si>
    <t>Elliot Jones</t>
  </si>
  <si>
    <t>213-235-9191</t>
  </si>
  <si>
    <t>jhobson@hbdlegal.com</t>
  </si>
  <si>
    <t>ejones@ironcorecc.com</t>
  </si>
  <si>
    <t>Tax Professional:</t>
  </si>
  <si>
    <t>Energy Consultant:</t>
  </si>
  <si>
    <t>Partner Energy</t>
  </si>
  <si>
    <t>680 Knox St., Suite 150</t>
  </si>
  <si>
    <t>Torrance, CA 90502</t>
  </si>
  <si>
    <t>Kelsey Shaw</t>
  </si>
  <si>
    <t>310-356-2199</t>
  </si>
  <si>
    <t>760-355-675</t>
  </si>
  <si>
    <t>kshaw@ptrenergy.com</t>
  </si>
  <si>
    <t>CPA:</t>
  </si>
  <si>
    <t>Novogradac &amp; Company LLP</t>
  </si>
  <si>
    <t>Investor:</t>
  </si>
  <si>
    <t>Hunt Capital Partners, LLC</t>
  </si>
  <si>
    <t>1300 114th Avenue SE, Suite 240</t>
  </si>
  <si>
    <t>114 Turner Street, Unit #3</t>
  </si>
  <si>
    <t>Bellevue, WA 98004</t>
  </si>
  <si>
    <t>Clearwater, Florida 33756</t>
  </si>
  <si>
    <t>Thomas Stagg</t>
  </si>
  <si>
    <t>Dana Mayo</t>
  </si>
  <si>
    <t>425-453-5783</t>
  </si>
  <si>
    <t>thomas.stagg@novoco.com</t>
  </si>
  <si>
    <t>dana.mayo@huntcompanies.com</t>
  </si>
  <si>
    <t>Consultant:</t>
  </si>
  <si>
    <t>Market Analyst:</t>
  </si>
  <si>
    <t>6700 Antioch Rd #450</t>
  </si>
  <si>
    <t>Merriam, KS 66204</t>
  </si>
  <si>
    <t>Rachel Denton</t>
  </si>
  <si>
    <t>Rachel.denton@novoco.com</t>
  </si>
  <si>
    <t>Appraiser:</t>
  </si>
  <si>
    <t>CNA Consultant:</t>
  </si>
  <si>
    <t>Bond Issuer:</t>
  </si>
  <si>
    <t>California Municipal Finance Authority</t>
  </si>
  <si>
    <t>Prop. Mgmt. Co.:</t>
  </si>
  <si>
    <t>Cambridge Real Estate Services, Inc.</t>
  </si>
  <si>
    <t>2111 Palomar Airport Road, Suite 320</t>
  </si>
  <si>
    <t>PO Box 2968</t>
  </si>
  <si>
    <t>Carlsbad, CA 92011</t>
  </si>
  <si>
    <t>Portland, OR 97208</t>
  </si>
  <si>
    <t>John P. Stoecker</t>
  </si>
  <si>
    <t>Jeffrey Passadore</t>
  </si>
  <si>
    <t>(760) 930-1221</t>
  </si>
  <si>
    <t xml:space="preserve">503-450-0233 </t>
  </si>
  <si>
    <t>(760) 683-3390</t>
  </si>
  <si>
    <t>jstoecker@cmfa-ca.com</t>
  </si>
  <si>
    <t>jpassadore@cambridgeres.com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</si>
  <si>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</si>
  <si>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</si>
  <si>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</si>
  <si>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</si>
  <si>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</si>
  <si>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</si>
  <si>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</si>
  <si>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</si>
  <si>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</si>
  <si>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</si>
  <si>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</si>
  <si>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</si>
  <si>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</si>
  <si>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</si>
  <si>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</si>
  <si>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</si>
  <si>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</si>
  <si>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</si>
  <si>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</si>
  <si>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</si>
  <si>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</si>
  <si>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</si>
  <si>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</si>
  <si>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</si>
  <si>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</si>
  <si>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</si>
  <si>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</si>
  <si>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</si>
  <si>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</si>
  <si>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</si>
  <si>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</si>
  <si>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</si>
  <si>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</si>
  <si>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Groves Family Trust</t>
  </si>
  <si>
    <t>Signatory of Seller:</t>
  </si>
  <si>
    <t>Michael Groves</t>
  </si>
  <si>
    <t>Seller Principal:</t>
  </si>
  <si>
    <t>Seller Address:</t>
  </si>
  <si>
    <t xml:space="preserve">Date of Purchase Contract or Option:  </t>
  </si>
  <si>
    <t>Purchased from Affiliate:</t>
  </si>
  <si>
    <t xml:space="preserve">Expiration Date of Option:  </t>
  </si>
  <si>
    <t>01-30-2025</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</si>
  <si>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</si>
  <si>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</si>
  <si>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</si>
  <si>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</si>
  <si>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</si>
  <si>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</si>
  <si>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</si>
  <si>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</si>
  <si>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</si>
  <si>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</si>
  <si>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</si>
  <si>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</si>
  <si>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</si>
  <si>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</si>
  <si>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</si>
  <si>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</si>
  <si>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</si>
  <si>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</si>
  <si>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</si>
  <si>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</si>
  <si>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</si>
  <si>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</si>
  <si>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</si>
  <si>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</si>
  <si>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</si>
  <si>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</si>
  <si>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Type I and Type III Mid-rise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</si>
  <si>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</si>
  <si>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</si>
  <si>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</si>
  <si>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</si>
  <si>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</si>
  <si>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</si>
  <si>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</si>
  <si>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</si>
  <si>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</si>
  <si>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</si>
  <si>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</si>
  <si>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</si>
  <si>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</si>
  <si>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</si>
  <si>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</si>
  <si>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</si>
  <si>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</si>
  <si>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</si>
  <si>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</si>
  <si>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</si>
  <si>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</si>
  <si>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</si>
  <si>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</si>
  <si>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</si>
  <si>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</si>
  <si>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</si>
  <si>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</si>
  <si>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</si>
  <si>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</si>
  <si>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</si>
  <si>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</si>
  <si>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</si>
  <si>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</si>
  <si>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</si>
  <si>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</si>
  <si>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</si>
  <si>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</si>
  <si>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</si>
  <si>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</si>
  <si>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</si>
  <si>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</si>
  <si>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</si>
  <si>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</si>
  <si>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</si>
  <si>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</si>
  <si>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</si>
  <si>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</si>
  <si>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</si>
  <si>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</si>
  <si>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</si>
  <si>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</si>
  <si>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</si>
  <si>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</si>
  <si>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</si>
  <si>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t>
  </si>
  <si>
    <t>Current Zoning and Maximum Density</t>
  </si>
  <si>
    <t>RESIDENTIAL MULTIPLE (RM) and 36DU/Acre</t>
  </si>
  <si>
    <t>Proposed Zoning and Maximum Density</t>
  </si>
  <si>
    <t>MULTI-FAMILY RESIDENTIAL and 29 DU/Acre</t>
  </si>
  <si>
    <t>Occupancy restrictions that run with the land due to CUP’s or density bonuses?</t>
  </si>
  <si>
    <t>(if yes, explain here)</t>
  </si>
  <si>
    <t>Subject to Inclusionary Zoning?</t>
  </si>
  <si>
    <t>Building Height Requirements</t>
  </si>
  <si>
    <t>NA</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</si>
  <si>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</si>
  <si>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</si>
  <si>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</si>
  <si>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</si>
  <si>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</si>
  <si>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</si>
  <si>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</si>
  <si>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</si>
  <si>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</si>
  <si>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</si>
  <si>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</si>
  <si>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</si>
  <si>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</si>
  <si>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</si>
  <si>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</si>
  <si>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</si>
  <si>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</si>
  <si>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</si>
  <si>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</si>
  <si>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</si>
  <si>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</si>
  <si>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</si>
  <si>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</si>
  <si>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</si>
  <si>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</si>
  <si>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</si>
  <si>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</si>
  <si>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</si>
  <si>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</si>
  <si>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</si>
  <si>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</si>
  <si>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</si>
  <si>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</si>
  <si>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</si>
  <si>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</si>
  <si>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</si>
  <si>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HACSC PBVs</t>
  </si>
  <si>
    <t>Equity, Other Investor</t>
  </si>
  <si>
    <t>Grant</t>
  </si>
  <si>
    <t>Closing or Award</t>
  </si>
  <si>
    <t>Loan, Conventional</t>
  </si>
  <si>
    <t xml:space="preserve">Type and Source: </t>
  </si>
  <si>
    <t>HOME</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</si>
  <si>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</si>
  <si>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</si>
  <si>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</si>
  <si>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</si>
  <si>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</si>
  <si>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</si>
  <si>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</si>
  <si>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</si>
  <si>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</si>
  <si>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</si>
  <si>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</si>
  <si>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</si>
  <si>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</si>
  <si>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</si>
  <si>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</si>
  <si>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</si>
  <si>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</si>
  <si>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</si>
  <si>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</si>
  <si>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</si>
  <si>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</si>
  <si>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</si>
  <si>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</si>
  <si>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</si>
  <si>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</si>
  <si>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</si>
  <si>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</si>
  <si>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</si>
  <si>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</si>
  <si>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</si>
  <si>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</si>
  <si>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Tax Exempt</t>
  </si>
  <si>
    <t>Construction Loan Taxable</t>
  </si>
  <si>
    <t>Federal LIHTC Equity</t>
  </si>
  <si>
    <t>Deferred Cost</t>
  </si>
  <si>
    <t>6)</t>
  </si>
  <si>
    <t>7)</t>
  </si>
  <si>
    <t>8)</t>
  </si>
  <si>
    <t>9)</t>
  </si>
  <si>
    <t>10)</t>
  </si>
  <si>
    <t>11)</t>
  </si>
  <si>
    <t>12)</t>
  </si>
  <si>
    <t>Total Funds For Construction:</t>
  </si>
  <si>
    <t>Lender/Source:</t>
  </si>
  <si>
    <t>300 South Grand Avenue</t>
  </si>
  <si>
    <t>Contact Name:</t>
  </si>
  <si>
    <t>Hao Li</t>
  </si>
  <si>
    <t xml:space="preserve">213-239-1914					</t>
  </si>
  <si>
    <t>Type of Financing:</t>
  </si>
  <si>
    <t xml:space="preserve">Tax Exempt Bonds/ Private										</t>
  </si>
  <si>
    <t xml:space="preserve">Taxable Bonds/ Private										</t>
  </si>
  <si>
    <t>Variable Rate Index (if applicable):</t>
  </si>
  <si>
    <t>Is the Lender/Source Committed?</t>
  </si>
  <si>
    <t>122 E 42nd Street, Suite 1903</t>
  </si>
  <si>
    <t>Clearwater, FL 33756</t>
  </si>
  <si>
    <t>New York, NY 10168</t>
  </si>
  <si>
    <t>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</si>
  <si>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</si>
  <si>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</si>
  <si>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</si>
  <si>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</si>
  <si>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</si>
  <si>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</si>
  <si>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t>
  </si>
  <si>
    <t>Deferred Developer Fee</t>
  </si>
  <si>
    <t>Deferred</t>
  </si>
  <si>
    <t>Residual</t>
  </si>
  <si>
    <t>Required</t>
  </si>
  <si>
    <t>Total Permanent Financing:</t>
  </si>
  <si>
    <t>Total Tax Credit Equity:</t>
  </si>
  <si>
    <t>Total Sources of Project Funds:</t>
  </si>
  <si>
    <t>2020 W. El Camino Avenue, Suite 200</t>
  </si>
  <si>
    <t>Sacramento, CA 94252</t>
  </si>
  <si>
    <t>Sasha Hauswald</t>
  </si>
  <si>
    <t>(916) 263-2771</t>
  </si>
  <si>
    <t>HCD</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</si>
  <si>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</si>
  <si>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</si>
  <si>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</si>
  <si>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</si>
  <si>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</si>
  <si>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</si>
  <si>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</si>
  <si>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</si>
  <si>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</si>
  <si>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</si>
  <si>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</si>
  <si>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</si>
  <si>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</si>
  <si>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</si>
  <si>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</si>
  <si>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</si>
  <si>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</si>
  <si>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</si>
  <si>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</si>
  <si>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</si>
  <si>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</si>
  <si>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</si>
  <si>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</si>
  <si>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</si>
  <si>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</si>
  <si>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</si>
  <si>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</si>
  <si>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</si>
  <si>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</si>
  <si>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</si>
  <si>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</si>
  <si>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</si>
  <si>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</si>
  <si>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</si>
  <si>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</si>
  <si>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</si>
  <si>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</si>
  <si>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</si>
  <si>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</si>
  <si>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</si>
  <si>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</si>
  <si>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</si>
  <si>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</si>
  <si>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</si>
  <si>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</si>
  <si>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</si>
  <si>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</si>
  <si>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</si>
  <si>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</si>
  <si>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</si>
  <si>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</si>
  <si>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</si>
  <si>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</si>
  <si>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</si>
  <si>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</si>
  <si>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</si>
  <si>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</si>
  <si>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</si>
  <si>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</si>
  <si>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</si>
  <si>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</si>
  <si>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</si>
  <si>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</si>
  <si>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</si>
  <si>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</si>
  <si>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</si>
  <si>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</si>
  <si>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</si>
  <si>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</si>
  <si>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</si>
  <si>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</si>
  <si>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</si>
  <si>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</si>
  <si>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</si>
  <si>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</si>
  <si>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</si>
  <si>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</si>
  <si>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</si>
  <si>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</si>
  <si>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</si>
  <si>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</si>
  <si>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</si>
  <si>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</si>
  <si>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</si>
  <si>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</si>
  <si>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</si>
  <si>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</si>
  <si>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</si>
  <si>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</si>
  <si>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General</t>
  </si>
  <si>
    <t>*PROJECTS PROPOSING UNITS WITH INDIVIDUAL WATER METERS MUST INCLUDE A WATER</t>
  </si>
  <si>
    <t>ALLOWANCE.</t>
  </si>
  <si>
    <t>Name of PHA or California Energy Commission Providing Utility Allowances:</t>
  </si>
  <si>
    <t>CITIES OF HOLLISTER AND SAN JUAN BAUTISTA</t>
  </si>
  <si>
    <t>See Regulation Section 10322(h)(21) for type of projects that are allowed to use CUAC.</t>
  </si>
  <si>
    <t>Annual Residential Operating Expenses</t>
  </si>
  <si>
    <t xml:space="preserve"> Administrative</t>
  </si>
  <si>
    <t>Advertising:</t>
  </si>
  <si>
    <t>Legal:</t>
  </si>
  <si>
    <t>Accounting/Audit:</t>
  </si>
  <si>
    <t>Security:</t>
  </si>
  <si>
    <t>Misc.  (Admin etc.)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</si>
  <si>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</si>
  <si>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</si>
  <si>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</si>
  <si>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</si>
  <si>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</si>
  <si>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</si>
  <si>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</si>
  <si>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</si>
  <si>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</si>
  <si>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</si>
  <si>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</si>
  <si>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</si>
  <si>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</si>
  <si>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 Benefits etc.</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</si>
  <si>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</si>
  <si>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</si>
  <si>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</si>
  <si>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</si>
  <si>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</si>
  <si>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</si>
  <si>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</si>
  <si>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</si>
  <si>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</si>
  <si>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</si>
  <si>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</si>
  <si>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</si>
  <si>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</si>
  <si>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</si>
  <si>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</si>
  <si>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</si>
  <si>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</si>
  <si>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</si>
  <si>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</si>
  <si>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</si>
  <si>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</si>
  <si>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</si>
  <si>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</si>
  <si>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</si>
  <si>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</si>
  <si>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</si>
  <si>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</si>
  <si>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</si>
  <si>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</si>
  <si>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</si>
  <si>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</si>
  <si>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</si>
  <si>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</si>
  <si>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</si>
  <si>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</si>
  <si>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</si>
  <si>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</si>
  <si>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</si>
  <si>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</si>
  <si>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</si>
  <si>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</si>
  <si>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</si>
  <si>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</si>
  <si>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</si>
  <si>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</si>
  <si>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</si>
  <si>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</si>
  <si>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</si>
  <si>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</si>
  <si>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</si>
  <si>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</si>
  <si>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</si>
  <si>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</si>
  <si>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</si>
  <si>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</si>
  <si>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</si>
  <si>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</si>
  <si>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</si>
  <si>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</si>
  <si>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</si>
  <si>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</si>
  <si>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</si>
  <si>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</si>
  <si>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</si>
  <si>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</si>
  <si>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</si>
  <si>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</si>
  <si>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</si>
  <si>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</si>
  <si>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</si>
  <si>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</si>
  <si>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</si>
  <si>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HACSC</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</si>
  <si>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</si>
  <si>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</si>
  <si>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</si>
  <si>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</si>
  <si>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</si>
  <si>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</si>
  <si>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</si>
  <si>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</si>
  <si>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</si>
  <si>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</si>
  <si>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</si>
  <si>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</si>
  <si>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</si>
  <si>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</si>
  <si>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</si>
  <si>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</si>
  <si>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</si>
  <si>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</si>
  <si>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</si>
  <si>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</si>
  <si>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</si>
  <si>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</si>
  <si>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</si>
  <si>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</si>
  <si>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</si>
  <si>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</si>
  <si>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</si>
  <si>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</si>
  <si>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</si>
  <si>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</si>
  <si>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</si>
  <si>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</si>
  <si>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</si>
  <si>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</si>
  <si>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Housing Authority of County of Santa Cruz</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</si>
  <si>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</si>
  <si>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</si>
  <si>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</si>
  <si>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</si>
  <si>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</si>
  <si>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</si>
  <si>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</si>
  <si>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</si>
  <si>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</si>
  <si>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</si>
  <si>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</si>
  <si>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</si>
  <si>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</si>
  <si>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</si>
  <si>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</si>
  <si>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</si>
  <si>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</si>
  <si>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</si>
  <si>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</si>
  <si>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</si>
  <si>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</si>
  <si>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</si>
  <si>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</si>
  <si>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</si>
  <si>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</si>
  <si>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</si>
  <si>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</si>
  <si>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</si>
  <si>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</si>
  <si>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</si>
  <si>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</si>
  <si>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</si>
  <si>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</si>
  <si>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</si>
  <si>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</si>
  <si>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</si>
  <si>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</si>
  <si>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</si>
  <si>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</si>
  <si>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</si>
  <si>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</si>
  <si>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</si>
  <si>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</si>
  <si>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</si>
  <si>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</si>
  <si>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</si>
  <si>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</si>
  <si>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</si>
  <si>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</si>
  <si>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</si>
  <si>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</si>
  <si>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</si>
  <si>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</si>
  <si>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</si>
  <si>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</si>
  <si>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</si>
  <si>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</si>
  <si>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</si>
  <si>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</si>
  <si>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</si>
  <si>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</si>
  <si>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</si>
  <si>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</si>
  <si>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</si>
  <si>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</si>
  <si>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</si>
  <si>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</si>
  <si>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</si>
  <si>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</si>
  <si>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</si>
  <si>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</si>
  <si>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</si>
  <si>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</si>
  <si>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</si>
  <si>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</si>
  <si>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</si>
  <si>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</si>
  <si>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</si>
  <si>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</si>
  <si>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</si>
  <si>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</si>
  <si>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</si>
  <si>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</si>
  <si>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</si>
  <si>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</si>
  <si>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</si>
  <si>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</si>
  <si>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</si>
  <si>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</si>
  <si>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</si>
  <si>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</si>
  <si>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</si>
  <si>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</si>
  <si>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</si>
  <si>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</si>
  <si>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</si>
  <si>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</si>
  <si>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</si>
  <si>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</si>
  <si>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</si>
  <si>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</si>
  <si>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</si>
  <si>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</si>
  <si>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</si>
  <si>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</si>
  <si>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</si>
  <si>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</si>
  <si>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</si>
  <si>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</si>
  <si>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</si>
  <si>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</si>
  <si>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</si>
  <si>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</si>
  <si>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</si>
  <si>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</si>
  <si>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</si>
  <si>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</si>
  <si>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</si>
  <si>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</si>
  <si>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</si>
  <si>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</si>
  <si>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</si>
  <si>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</si>
  <si>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</si>
  <si>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</si>
  <si>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</si>
  <si>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Employee Reporting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</si>
  <si>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</si>
  <si>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</si>
  <si>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</si>
  <si>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</si>
  <si>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</si>
  <si>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</si>
  <si>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</si>
  <si>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</si>
  <si>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</si>
  <si>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</si>
  <si>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</si>
  <si>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</si>
  <si>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</si>
  <si>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</si>
  <si>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</si>
  <si>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</si>
  <si>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</si>
  <si>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</si>
  <si>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</si>
  <si>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</si>
  <si>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</si>
  <si>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</si>
  <si>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</si>
  <si>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</si>
  <si>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</si>
  <si>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</si>
  <si>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</si>
  <si>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</si>
  <si>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</si>
  <si>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</si>
  <si>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</si>
  <si>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</si>
  <si>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Prevailing wage monitoring, Misc Third Party Cost, Pre Dev Loan Interest</t>
  </si>
  <si>
    <t>Other: CDLAC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</si>
  <si>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</si>
  <si>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</si>
  <si>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</si>
  <si>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</si>
  <si>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</si>
  <si>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</si>
  <si>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</si>
  <si>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</si>
  <si>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</si>
  <si>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</si>
  <si>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</si>
  <si>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</si>
  <si>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</si>
  <si>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</si>
  <si>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</si>
  <si>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</si>
  <si>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</si>
  <si>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</si>
  <si>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</si>
  <si>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</si>
  <si>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</si>
  <si>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</si>
  <si>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</si>
  <si>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</si>
  <si>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</si>
  <si>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</si>
  <si>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</si>
  <si>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</si>
  <si>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</si>
  <si>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</si>
  <si>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</si>
  <si>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</si>
  <si>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</si>
  <si>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</si>
  <si>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</si>
  <si>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</si>
  <si>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</si>
  <si>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</si>
  <si>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</si>
  <si>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</si>
  <si>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</si>
  <si>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</si>
  <si>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</si>
  <si>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</si>
  <si>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</si>
  <si>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</si>
  <si>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</si>
  <si>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</si>
  <si>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</si>
  <si>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</si>
  <si>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</si>
  <si>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</si>
  <si>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</si>
  <si>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</si>
  <si>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</si>
  <si>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</si>
  <si>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</si>
  <si>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</si>
  <si>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</si>
  <si>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</si>
  <si>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</si>
  <si>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</si>
  <si>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</si>
  <si>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</si>
  <si>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</si>
  <si>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</si>
  <si>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</si>
  <si>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</si>
  <si>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</si>
  <si>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</si>
  <si>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</si>
  <si>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</si>
  <si>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</si>
  <si>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</si>
  <si>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</si>
  <si>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</si>
  <si>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</si>
  <si>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</si>
  <si>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</si>
  <si>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</si>
  <si>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</si>
  <si>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</si>
  <si>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</si>
  <si>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</si>
  <si>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</si>
  <si>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</si>
  <si>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</si>
  <si>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</si>
  <si>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</si>
  <si>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</si>
  <si>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</si>
  <si>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</si>
  <si>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</si>
  <si>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</si>
  <si>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</si>
  <si>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</si>
  <si>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</si>
  <si>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</si>
  <si>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</si>
  <si>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</si>
  <si>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</si>
  <si>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</si>
  <si>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</si>
  <si>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</si>
  <si>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</si>
  <si>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</si>
  <si>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</si>
  <si>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</si>
  <si>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</si>
  <si>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</si>
  <si>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</si>
  <si>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</si>
  <si>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</si>
  <si>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</si>
  <si>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</si>
  <si>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</si>
  <si>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</si>
  <si>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</si>
  <si>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</si>
  <si>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</si>
  <si>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</si>
  <si>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</si>
  <si>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</si>
  <si>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</si>
  <si>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</si>
  <si>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</si>
  <si>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</si>
  <si>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</si>
  <si>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</si>
  <si>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</si>
  <si>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</si>
  <si>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</si>
  <si>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</si>
  <si>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</si>
  <si>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</si>
  <si>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</si>
  <si>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</si>
  <si>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</si>
  <si>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</si>
  <si>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</si>
  <si>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</si>
  <si>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</si>
  <si>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</si>
  <si>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</si>
  <si>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</si>
  <si>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</si>
  <si>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</si>
  <si>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</si>
  <si>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</si>
  <si>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</si>
  <si>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</si>
  <si>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</si>
  <si>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</si>
  <si>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</si>
  <si>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</si>
  <si>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</si>
  <si>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</si>
  <si>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</si>
  <si>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</si>
  <si>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</si>
  <si>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</si>
  <si>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</si>
  <si>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</si>
  <si>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</si>
  <si>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</si>
  <si>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</si>
  <si>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</si>
  <si>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</si>
  <si>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</si>
  <si>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</si>
  <si>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</si>
  <si>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</si>
  <si>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</si>
  <si>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</si>
  <si>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</si>
  <si>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</si>
  <si>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</si>
  <si>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</si>
  <si>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</si>
  <si>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</si>
  <si>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</si>
  <si>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</si>
  <si>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</si>
  <si>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</si>
  <si>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</si>
  <si>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</si>
  <si>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</si>
  <si>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</si>
  <si>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</si>
  <si>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</si>
  <si>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</si>
  <si>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</si>
  <si>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</si>
  <si>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</si>
  <si>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</si>
  <si>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</si>
  <si>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</si>
  <si>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</si>
  <si>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</si>
  <si>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</si>
  <si>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</si>
  <si>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</si>
  <si>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</si>
  <si>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</si>
  <si>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</si>
  <si>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</si>
  <si>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</si>
  <si>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</si>
  <si>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</si>
  <si>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</si>
  <si>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</si>
  <si>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</si>
  <si>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</si>
  <si>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</si>
  <si>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</si>
  <si>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</si>
  <si>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</si>
  <si>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</si>
  <si>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</si>
  <si>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</si>
  <si>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</si>
  <si>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</si>
  <si>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</si>
  <si>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</si>
  <si>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</si>
  <si>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</si>
  <si>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</si>
  <si>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</si>
  <si>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</si>
  <si>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</si>
  <si>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</si>
  <si>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</si>
  <si>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</si>
  <si>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</si>
  <si>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</si>
  <si>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</si>
  <si>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</si>
  <si>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</si>
  <si>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</si>
  <si>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</si>
  <si>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</si>
  <si>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</si>
  <si>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</si>
  <si>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</si>
  <si>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</si>
  <si>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</si>
  <si>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</si>
  <si>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</si>
  <si>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</si>
  <si>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</si>
  <si>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</si>
  <si>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</si>
  <si>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</si>
  <si>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</si>
  <si>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</si>
  <si>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</si>
  <si>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</si>
  <si>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</si>
  <si>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</si>
  <si>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</si>
  <si>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</si>
  <si>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</si>
  <si>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</si>
  <si>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</si>
  <si>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</si>
  <si>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</si>
  <si>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</si>
  <si>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</si>
  <si>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</si>
  <si>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</si>
  <si>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</si>
  <si>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</si>
  <si>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</si>
  <si>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</si>
  <si>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</si>
  <si>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</si>
  <si>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</si>
  <si>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</si>
  <si>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</si>
  <si>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</si>
  <si>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</si>
  <si>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</si>
  <si>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</si>
  <si>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</si>
  <si>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</si>
  <si>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</si>
  <si>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</si>
  <si>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</si>
  <si>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</si>
  <si>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</si>
  <si>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</si>
  <si>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</si>
  <si>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</si>
  <si>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</si>
  <si>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</si>
  <si>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</si>
  <si>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</si>
  <si>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</si>
  <si>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</si>
  <si>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</si>
  <si>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</si>
  <si>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</si>
  <si>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</si>
  <si>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</si>
  <si>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</si>
  <si>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</si>
  <si>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</si>
  <si>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</si>
  <si>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</si>
  <si>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</si>
  <si>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</si>
  <si>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</si>
  <si>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</si>
  <si>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</si>
  <si>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</si>
  <si>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</si>
  <si>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</si>
  <si>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</si>
  <si>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</si>
  <si>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</si>
  <si>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</si>
  <si>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</si>
  <si>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</si>
  <si>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</si>
  <si>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</si>
  <si>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</si>
  <si>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</si>
  <si>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</si>
  <si>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</si>
  <si>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</si>
  <si>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</si>
  <si>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</si>
  <si>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</si>
  <si>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</si>
  <si>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</si>
  <si>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</si>
  <si>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</si>
  <si>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</si>
  <si>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</si>
  <si>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</si>
  <si>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</si>
  <si>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</si>
  <si>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</si>
  <si>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</si>
  <si>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</si>
  <si>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</si>
  <si>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</si>
  <si>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</si>
  <si>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</si>
  <si>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</si>
  <si>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</si>
  <si>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</si>
  <si>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</si>
  <si>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</si>
  <si>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</si>
  <si>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</si>
  <si>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</si>
  <si>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</si>
  <si>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</si>
  <si>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</si>
  <si>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</si>
  <si>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</si>
  <si>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</si>
  <si>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</si>
  <si>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</si>
  <si>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</si>
  <si>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</si>
  <si>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</si>
  <si>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</si>
  <si>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</si>
  <si>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</si>
  <si>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</si>
  <si>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</si>
  <si>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</si>
  <si>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</si>
  <si>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</si>
  <si>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</si>
  <si>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</si>
  <si>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</si>
  <si>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</si>
  <si>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</si>
  <si>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</si>
  <si>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</si>
  <si>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</si>
  <si>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</si>
  <si>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</si>
  <si>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</si>
  <si>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</si>
  <si>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</si>
  <si>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</si>
  <si>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</si>
  <si>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</si>
  <si>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</si>
  <si>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</si>
  <si>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</si>
  <si>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</si>
  <si>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</si>
  <si>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</si>
  <si>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</si>
  <si>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</si>
  <si>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</si>
  <si>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</si>
  <si>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</si>
  <si>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</si>
  <si>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</si>
  <si>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</si>
  <si>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</si>
  <si>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</si>
  <si>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</si>
  <si>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</si>
  <si>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</si>
  <si>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</si>
  <si>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</si>
  <si>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</si>
  <si>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</si>
  <si>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</si>
  <si>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</si>
  <si>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</si>
  <si>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</si>
  <si>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</si>
  <si>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</si>
  <si>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</si>
  <si>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</si>
  <si>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</si>
  <si>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</si>
  <si>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</si>
  <si>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</si>
  <si>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</si>
  <si>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</si>
  <si>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</si>
  <si>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</si>
  <si>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</si>
  <si>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</si>
  <si>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</si>
  <si>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</si>
  <si>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</si>
  <si>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</si>
  <si>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</si>
  <si>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</si>
  <si>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</si>
  <si>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</si>
  <si>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</si>
  <si>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</si>
  <si>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</si>
  <si>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</si>
  <si>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</si>
  <si>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</si>
  <si>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</si>
  <si>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</si>
  <si>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</si>
  <si>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</si>
  <si>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</si>
  <si>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</si>
  <si>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</si>
  <si>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</si>
  <si>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</si>
  <si>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</si>
  <si>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</si>
  <si>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</si>
  <si>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</si>
  <si>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</si>
  <si>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</si>
  <si>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</si>
  <si>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</si>
  <si>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</si>
  <si>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</si>
  <si>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</si>
  <si>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</si>
  <si>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</si>
  <si>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</si>
  <si>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</si>
  <si>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</si>
  <si>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</si>
  <si>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</si>
  <si>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</si>
  <si>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</si>
  <si>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</si>
  <si>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</si>
  <si>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</si>
  <si>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</si>
  <si>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</si>
  <si>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</si>
  <si>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</si>
  <si>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</si>
  <si>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</si>
  <si>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</si>
  <si>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</si>
  <si>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</si>
  <si>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</si>
  <si>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</si>
  <si>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</si>
  <si>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</si>
  <si>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</si>
  <si>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</si>
  <si>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</si>
  <si>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</si>
  <si>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</si>
  <si>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</si>
  <si>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</si>
  <si>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</si>
  <si>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</si>
  <si>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</si>
  <si>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</si>
  <si>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</si>
  <si>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</si>
  <si>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</si>
  <si>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</si>
  <si>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</si>
  <si>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</si>
  <si>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</si>
  <si>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</si>
  <si>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</si>
  <si>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</si>
  <si>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</si>
  <si>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</si>
  <si>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</si>
  <si>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</si>
  <si>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</si>
  <si>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</si>
  <si>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</si>
  <si>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</si>
  <si>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</si>
  <si>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</si>
  <si>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</si>
  <si>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</si>
  <si>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</si>
  <si>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</si>
  <si>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</si>
  <si>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</si>
  <si>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</si>
  <si>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</si>
  <si>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</si>
  <si>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</si>
  <si>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</si>
  <si>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</si>
  <si>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</si>
  <si>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</si>
  <si>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</si>
  <si>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</si>
  <si>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</si>
  <si>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</si>
  <si>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</si>
  <si>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</si>
  <si>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</si>
  <si>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</si>
  <si>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</si>
  <si>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</si>
  <si>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</si>
  <si>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</si>
  <si>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</si>
  <si>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</si>
  <si>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</si>
  <si>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</si>
  <si>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</si>
  <si>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</si>
  <si>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</si>
  <si>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</si>
  <si>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</si>
  <si>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</si>
  <si>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</si>
  <si>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</si>
  <si>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</si>
  <si>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</si>
  <si>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</si>
  <si>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</si>
  <si>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</si>
  <si>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</si>
  <si>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</si>
  <si>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</si>
  <si>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</si>
  <si>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</si>
  <si>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</si>
  <si>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</si>
  <si>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</si>
  <si>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</si>
  <si>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</si>
  <si>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</si>
  <si>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</si>
  <si>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</si>
  <si>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</si>
  <si>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</si>
  <si>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</si>
  <si>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</si>
  <si>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</si>
  <si>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</si>
  <si>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</si>
  <si>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</si>
  <si>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</si>
  <si>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</si>
  <si>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</si>
  <si>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</si>
  <si>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</si>
  <si>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</si>
  <si>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</si>
  <si>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</si>
  <si>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</si>
  <si>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</si>
  <si>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</si>
  <si>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</si>
  <si>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</si>
  <si>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</si>
  <si>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</si>
  <si>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</si>
  <si>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</si>
  <si>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</si>
  <si>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</si>
  <si>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</si>
  <si>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</si>
  <si>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</si>
  <si>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</si>
  <si>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</si>
  <si>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</si>
  <si>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</si>
  <si>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</si>
  <si>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</si>
  <si>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</si>
  <si>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</si>
  <si>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</si>
  <si>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</si>
  <si>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</si>
  <si>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</si>
  <si>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</si>
  <si>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</si>
  <si>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</si>
  <si>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</si>
  <si>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</si>
  <si>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</si>
  <si>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</si>
  <si>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</si>
  <si>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</si>
  <si>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</si>
  <si>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</si>
  <si>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</si>
  <si>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</si>
  <si>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</si>
  <si>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</si>
  <si>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</si>
  <si>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</si>
  <si>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</si>
  <si>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</si>
  <si>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</si>
  <si>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</si>
  <si>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</si>
  <si>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</si>
  <si>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</si>
  <si>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</si>
  <si>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</si>
  <si>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</si>
  <si>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</si>
  <si>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</si>
  <si>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</si>
  <si>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</si>
  <si>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</si>
  <si>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</si>
  <si>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</si>
  <si>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</si>
  <si>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</si>
  <si>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</si>
  <si>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</si>
  <si>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</si>
  <si>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</si>
  <si>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</si>
  <si>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</si>
  <si>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</si>
  <si>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</si>
  <si>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</si>
  <si>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</si>
  <si>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</si>
  <si>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</si>
  <si>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</si>
  <si>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</si>
  <si>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</si>
  <si>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</si>
  <si>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</si>
  <si>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</si>
  <si>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</si>
  <si>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</si>
  <si>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</si>
  <si>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</si>
  <si>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</si>
  <si>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</si>
  <si>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</si>
  <si>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</si>
  <si>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</si>
  <si>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</si>
  <si>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</si>
  <si>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</si>
  <si>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</si>
  <si>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</si>
  <si>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</si>
  <si>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</si>
  <si>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</si>
  <si>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</si>
  <si>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</si>
  <si>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</si>
  <si>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</si>
  <si>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</si>
  <si>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</si>
  <si>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</si>
  <si>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</si>
  <si>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</si>
  <si>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</si>
  <si>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</si>
  <si>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</si>
  <si>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</si>
  <si>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</si>
  <si>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</si>
  <si>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</si>
  <si>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</si>
  <si>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</si>
  <si>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</si>
  <si>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</si>
  <si>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</si>
  <si>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</si>
  <si>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</si>
  <si>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</si>
  <si>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</si>
  <si>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</si>
  <si>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</si>
  <si>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</si>
  <si>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</si>
  <si>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</si>
  <si>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</si>
  <si>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</si>
  <si>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</si>
  <si>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</si>
  <si>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</si>
  <si>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</si>
  <si>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</si>
  <si>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</si>
  <si>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</si>
  <si>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</si>
  <si>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</si>
  <si>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</si>
  <si>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</si>
  <si>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</si>
  <si>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</si>
  <si>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</si>
  <si>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</si>
  <si>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</si>
  <si>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</si>
  <si>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</si>
  <si>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</si>
  <si>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</si>
  <si>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</si>
  <si>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</si>
  <si>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</si>
  <si>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</si>
  <si>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</si>
  <si>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</si>
  <si>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</si>
  <si>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</si>
  <si>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</si>
  <si>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</si>
  <si>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</si>
  <si>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</si>
  <si>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</si>
  <si>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</si>
  <si>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</si>
  <si>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</si>
  <si>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</si>
  <si>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</si>
  <si>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</si>
  <si>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</si>
  <si>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</si>
  <si>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</si>
  <si>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</si>
  <si>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</si>
  <si>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</si>
  <si>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</si>
  <si>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</si>
  <si>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</si>
  <si>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</si>
  <si>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</si>
  <si>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</si>
  <si>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</si>
  <si>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</si>
  <si>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</si>
  <si>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</si>
  <si>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</si>
  <si>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</si>
  <si>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</si>
  <si>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</si>
  <si>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</si>
  <si>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</si>
  <si>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</si>
  <si>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</si>
  <si>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</si>
  <si>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</si>
  <si>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</si>
  <si>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</si>
  <si>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</si>
  <si>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</si>
  <si>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</si>
  <si>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</si>
  <si>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</si>
  <si>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</si>
  <si>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</si>
  <si>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</si>
  <si>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</si>
  <si>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</si>
  <si>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</si>
  <si>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</si>
  <si>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</si>
  <si>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</si>
  <si>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</si>
  <si>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</si>
  <si>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</si>
  <si>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</si>
  <si>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</si>
  <si>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</si>
  <si>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</si>
  <si>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</si>
  <si>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</si>
  <si>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</si>
  <si>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</si>
  <si>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</si>
  <si>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</si>
  <si>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</si>
  <si>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</si>
  <si>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</si>
  <si>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</si>
  <si>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</si>
  <si>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</si>
  <si>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</si>
  <si>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</si>
  <si>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</si>
  <si>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</si>
  <si>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PBVs</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</si>
  <si>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</si>
  <si>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</si>
  <si>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</si>
  <si>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</si>
  <si>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</si>
  <si>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</si>
  <si>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</si>
  <si>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</si>
  <si>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</si>
  <si>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</si>
  <si>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</si>
  <si>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</si>
  <si>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</si>
  <si>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</si>
  <si>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</si>
  <si>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</si>
  <si>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</si>
  <si>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</si>
  <si>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</si>
  <si>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</si>
  <si>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</si>
  <si>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</si>
  <si>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</si>
  <si>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</si>
  <si>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</si>
  <si>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</si>
  <si>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</si>
  <si>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</si>
  <si>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</si>
  <si>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</si>
  <si>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</si>
  <si>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</si>
  <si>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</si>
  <si>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</si>
  <si>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</si>
  <si>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</si>
  <si>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</si>
  <si>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</si>
  <si>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</si>
  <si>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</si>
  <si>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</si>
  <si>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</si>
  <si>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</si>
  <si>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</si>
  <si>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</si>
  <si>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</si>
  <si>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</si>
  <si>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</si>
  <si>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</si>
  <si>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</si>
  <si>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</si>
  <si>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</si>
  <si>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</si>
  <si>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</si>
  <si>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</si>
  <si>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</si>
  <si>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</si>
  <si>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</si>
  <si>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HOME Soft Debt</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</si>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</sst>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_ * #,##0.00_ ;_ * \-#,##0.00_ ;_ * &quot;-&quot;??_ ;_ @_ "/>
    <numFmt numFmtId="165" formatCode="&quot;$&quot;#,##0.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0.0000000000"/>
    <numFmt numFmtId="181" formatCode="0.0"/>
    <numFmt numFmtId="182" formatCode="_(* #,##0_);_(* \(#,##0\);_(* &quot;-&quot;??_);_(@_)"/>
    <numFmt numFmtId="183" formatCode="_(&quot;$&quot;* #,##0_);_(&quot;$&quot;* \(#,##0\);_(&quot;$&quot;* &quot;-&quot;??_);_(@_)"/>
    <numFmt numFmtId="184" formatCode="&quot;$&quot;#,##0.0"/>
    <numFmt numFmtId="185" formatCode="0_);\(0\)"/>
    <numFmt numFmtId="186"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5662">
    <xf numFmtId="0" fontId="0" fillId="0" borderId="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8" fillId="36" borderId="18" applyNumberFormat="0" applyAlignment="0" applyProtection="0"/>
    <xf numFmtId="0" fontId="78" fillId="36" borderId="18" applyNumberFormat="0" applyAlignment="0" applyProtection="0"/>
    <xf numFmtId="0" fontId="79" fillId="37"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2"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2" fillId="0" borderId="0" applyFont="0" applyFill="0" applyBorder="0" applyAlignment="0" applyProtection="0"/>
    <xf numFmtId="44" fontId="6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6" fillId="0" borderId="0" applyFont="0" applyFill="0" applyBorder="0" applyAlignment="0" applyProtection="0"/>
    <xf numFmtId="44" fontId="26" fillId="0" borderId="0" applyFont="0" applyFill="0" applyBorder="0" applyAlignment="0" applyProtection="0"/>
    <xf numFmtId="0" fontId="80" fillId="0" borderId="0" applyNumberFormat="0" applyFill="0" applyBorder="0" applyAlignment="0" applyProtection="0"/>
    <xf numFmtId="0" fontId="81" fillId="38"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86" fillId="0" borderId="23" applyNumberFormat="0" applyFill="0" applyAlignment="0" applyProtection="0"/>
    <xf numFmtId="0" fontId="87" fillId="40" borderId="0" applyNumberFormat="0" applyBorder="0" applyAlignment="0" applyProtection="0"/>
    <xf numFmtId="0" fontId="88" fillId="0" borderId="0"/>
    <xf numFmtId="0" fontId="52" fillId="0" borderId="0"/>
    <xf numFmtId="0" fontId="88" fillId="0" borderId="0"/>
    <xf numFmtId="0" fontId="52" fillId="0" borderId="0"/>
    <xf numFmtId="0" fontId="52"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2" fillId="0" borderId="0"/>
    <xf numFmtId="170" fontId="53" fillId="0" borderId="0"/>
    <xf numFmtId="0" fontId="75" fillId="0" borderId="0"/>
    <xf numFmtId="0" fontId="26" fillId="0" borderId="0"/>
    <xf numFmtId="0" fontId="26" fillId="0" borderId="0"/>
    <xf numFmtId="0" fontId="58" fillId="0" borderId="0"/>
    <xf numFmtId="0" fontId="52" fillId="0" borderId="0"/>
    <xf numFmtId="0" fontId="58" fillId="0" borderId="0"/>
    <xf numFmtId="0" fontId="52" fillId="0" borderId="0"/>
    <xf numFmtId="0" fontId="63" fillId="0" borderId="0"/>
    <xf numFmtId="0" fontId="52"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75" fillId="0" borderId="0"/>
    <xf numFmtId="0" fontId="75" fillId="0" borderId="0"/>
    <xf numFmtId="0" fontId="75" fillId="0" borderId="0"/>
    <xf numFmtId="0" fontId="75" fillId="0" borderId="0"/>
    <xf numFmtId="0" fontId="63" fillId="0" borderId="0"/>
    <xf numFmtId="0" fontId="52" fillId="0" borderId="0">
      <alignment vertical="top"/>
    </xf>
    <xf numFmtId="0" fontId="75" fillId="0" borderId="0"/>
    <xf numFmtId="0" fontId="75" fillId="0" borderId="0"/>
    <xf numFmtId="0" fontId="75" fillId="0" borderId="0"/>
    <xf numFmtId="0" fontId="75" fillId="0" borderId="0"/>
    <xf numFmtId="0" fontId="63"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5" fillId="0" borderId="0"/>
    <xf numFmtId="0" fontId="58"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52" fillId="0" borderId="0">
      <alignment vertical="top"/>
    </xf>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17" fillId="0" borderId="0" applyProtection="0">
      <protection locked="0"/>
    </xf>
    <xf numFmtId="0" fontId="26" fillId="0" borderId="0" applyProtection="0">
      <protection locked="0"/>
    </xf>
    <xf numFmtId="0" fontId="26" fillId="0" borderId="0" applyProtection="0">
      <protection locked="0"/>
    </xf>
    <xf numFmtId="0" fontId="53" fillId="0" borderId="0"/>
    <xf numFmtId="0" fontId="17" fillId="0" borderId="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90" fillId="36" borderId="25" applyNumberFormat="0" applyAlignment="0" applyProtection="0"/>
    <xf numFmtId="0" fontId="90" fillId="36" borderId="25" applyNumberFormat="0" applyAlignment="0" applyProtection="0"/>
    <xf numFmtId="0" fontId="22"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10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9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10" fillId="0" borderId="0" applyFont="0" applyFill="0" applyBorder="0" applyAlignment="0" applyProtection="0"/>
    <xf numFmtId="0" fontId="11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3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4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2" fillId="0" borderId="0" applyFont="0" applyFill="0" applyBorder="0" applyAlignment="0" applyProtection="0"/>
    <xf numFmtId="164" fontId="17" fillId="0" borderId="0" applyFont="0" applyFill="0" applyBorder="0" applyAlignment="0" applyProtection="0"/>
    <xf numFmtId="164" fontId="5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164" fontId="17"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24" fillId="0" borderId="0" xfId="0" applyFont="1"/>
    <xf numFmtId="0" fontId="17" fillId="0" borderId="0" xfId="0" applyFont="1"/>
    <xf numFmtId="0" fontId="26" fillId="0" borderId="0" xfId="0" applyFont="1"/>
    <xf numFmtId="0" fontId="0" fillId="0" borderId="4" xfId="0" applyBorder="1"/>
    <xf numFmtId="0" fontId="17" fillId="0" borderId="6" xfId="543"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4" fillId="0" borderId="4" xfId="0" applyFont="1" applyBorder="1"/>
    <xf numFmtId="165" fontId="0" fillId="0" borderId="0" xfId="0" applyNumberFormat="1" applyAlignment="1">
      <alignment horizontal="right"/>
    </xf>
    <xf numFmtId="0" fontId="17" fillId="0" borderId="0" xfId="543"/>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29" fillId="0" borderId="0" xfId="0" applyFont="1"/>
    <xf numFmtId="173" fontId="17" fillId="0" borderId="0" xfId="543" applyNumberFormat="1"/>
    <xf numFmtId="9" fontId="17" fillId="0" borderId="0" xfId="543" applyNumberFormat="1" applyAlignment="1">
      <alignment horizontal="left"/>
    </xf>
    <xf numFmtId="169" fontId="17" fillId="0" borderId="0" xfId="543" applyNumberFormat="1"/>
    <xf numFmtId="0" fontId="28" fillId="0" borderId="0" xfId="0" applyFont="1"/>
    <xf numFmtId="0" fontId="30"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3" fillId="0" borderId="3" xfId="0" applyFont="1" applyBorder="1" applyAlignment="1">
      <alignment horizontal="left"/>
    </xf>
    <xf numFmtId="0" fontId="33" fillId="0" borderId="9" xfId="0" applyFont="1" applyBorder="1" applyAlignment="1">
      <alignment horizontal="lef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24" fillId="0" borderId="9" xfId="0" applyFont="1" applyBorder="1"/>
    <xf numFmtId="165" fontId="0" fillId="0" borderId="0" xfId="0" applyNumberFormat="1" applyAlignment="1">
      <alignment horizontal="center"/>
    </xf>
    <xf numFmtId="0" fontId="0" fillId="0" borderId="12" xfId="0" applyBorder="1"/>
    <xf numFmtId="49" fontId="17" fillId="0" borderId="0" xfId="543" applyNumberFormat="1"/>
    <xf numFmtId="0" fontId="17" fillId="0" borderId="8" xfId="543" applyBorder="1"/>
    <xf numFmtId="0" fontId="17" fillId="0" borderId="9" xfId="543" applyBorder="1"/>
    <xf numFmtId="0" fontId="17" fillId="0" borderId="10" xfId="543" applyBorder="1"/>
    <xf numFmtId="0" fontId="17" fillId="0" borderId="1" xfId="543" applyBorder="1"/>
    <xf numFmtId="0" fontId="17" fillId="0" borderId="12" xfId="543" applyBorder="1"/>
    <xf numFmtId="0" fontId="17" fillId="0" borderId="2" xfId="543" applyBorder="1"/>
    <xf numFmtId="0" fontId="17" fillId="0" borderId="7" xfId="543" applyBorder="1"/>
    <xf numFmtId="0" fontId="25" fillId="0" borderId="6" xfId="543" applyFont="1" applyBorder="1" applyAlignment="1">
      <alignment vertical="top" wrapText="1"/>
    </xf>
    <xf numFmtId="0" fontId="0" fillId="2" borderId="2" xfId="0" applyFill="1" applyBorder="1"/>
    <xf numFmtId="0" fontId="0" fillId="2" borderId="7" xfId="0" applyFill="1" applyBorder="1"/>
    <xf numFmtId="0" fontId="23" fillId="0" borderId="0" xfId="0" applyFont="1" applyAlignment="1">
      <alignment horizontal="center" vertical="center"/>
    </xf>
    <xf numFmtId="0" fontId="24" fillId="0" borderId="0" xfId="0" applyFont="1" applyAlignment="1">
      <alignment vertical="top"/>
    </xf>
    <xf numFmtId="167" fontId="0" fillId="0" borderId="0" xfId="0" applyNumberFormat="1" applyAlignment="1">
      <alignment horizontal="right"/>
    </xf>
    <xf numFmtId="0" fontId="41"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17" fillId="0" borderId="0" xfId="0" applyFont="1" applyAlignment="1">
      <alignment horizontal="left"/>
    </xf>
    <xf numFmtId="0" fontId="17" fillId="0" borderId="0" xfId="0" applyFont="1" applyAlignment="1">
      <alignment vertical="top"/>
    </xf>
    <xf numFmtId="0" fontId="40" fillId="0" borderId="0" xfId="0" applyFont="1"/>
    <xf numFmtId="169"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2" fillId="0" borderId="0" xfId="0" applyFont="1"/>
    <xf numFmtId="0" fontId="25" fillId="0" borderId="9" xfId="543" applyFont="1" applyBorder="1"/>
    <xf numFmtId="0" fontId="25" fillId="0" borderId="6" xfId="543" applyFont="1" applyBorder="1" applyAlignment="1">
      <alignment horizontal="right"/>
    </xf>
    <xf numFmtId="0" fontId="47" fillId="0" borderId="3" xfId="0" applyFont="1" applyBorder="1" applyAlignment="1">
      <alignment horizontal="left" vertical="top"/>
    </xf>
    <xf numFmtId="0" fontId="47" fillId="0" borderId="13" xfId="0" applyFont="1" applyBorder="1" applyAlignment="1">
      <alignment horizontal="center" wrapText="1"/>
    </xf>
    <xf numFmtId="0" fontId="47" fillId="0" borderId="13" xfId="0" applyFont="1" applyBorder="1" applyAlignment="1">
      <alignment horizontal="center" vertical="top" wrapText="1"/>
    </xf>
    <xf numFmtId="0" fontId="47" fillId="2" borderId="13" xfId="0" applyFont="1" applyFill="1" applyBorder="1" applyAlignment="1">
      <alignment horizontal="center" wrapText="1"/>
    </xf>
    <xf numFmtId="0" fontId="48" fillId="2" borderId="11" xfId="0" applyFont="1" applyFill="1" applyBorder="1" applyAlignment="1">
      <alignment horizontal="left" vertical="top" wrapText="1"/>
    </xf>
    <xf numFmtId="0" fontId="49" fillId="0" borderId="11" xfId="0" applyFont="1" applyBorder="1" applyAlignment="1">
      <alignment vertical="top" wrapText="1"/>
    </xf>
    <xf numFmtId="0" fontId="47" fillId="0" borderId="11" xfId="0" applyFont="1" applyBorder="1" applyAlignment="1">
      <alignment horizontal="right" vertical="top" wrapText="1"/>
    </xf>
    <xf numFmtId="169" fontId="47" fillId="0" borderId="11" xfId="0" applyNumberFormat="1" applyFont="1" applyBorder="1" applyAlignment="1">
      <alignment vertical="top" wrapText="1"/>
    </xf>
    <xf numFmtId="0" fontId="47" fillId="2" borderId="11" xfId="0" applyFont="1" applyFill="1" applyBorder="1" applyAlignment="1">
      <alignment vertical="top" wrapText="1"/>
    </xf>
    <xf numFmtId="0" fontId="47" fillId="0" borderId="11" xfId="0" applyFont="1" applyBorder="1" applyAlignment="1">
      <alignment vertical="top" wrapText="1"/>
    </xf>
    <xf numFmtId="0" fontId="20" fillId="0" borderId="11" xfId="0" applyFont="1" applyBorder="1" applyAlignment="1">
      <alignment horizontal="right" vertical="top" wrapText="1"/>
    </xf>
    <xf numFmtId="0" fontId="47" fillId="0" borderId="0" xfId="0" applyFont="1" applyAlignment="1">
      <alignment horizontal="left" vertical="top"/>
    </xf>
    <xf numFmtId="0" fontId="49" fillId="0" borderId="0" xfId="0" applyFont="1" applyAlignment="1">
      <alignment vertical="top" wrapText="1"/>
    </xf>
    <xf numFmtId="0" fontId="47" fillId="0" borderId="0" xfId="0" applyFont="1" applyAlignment="1">
      <alignment horizontal="right" vertical="top"/>
    </xf>
    <xf numFmtId="0" fontId="49" fillId="2" borderId="0" xfId="0" applyFont="1" applyFill="1" applyAlignment="1">
      <alignment vertical="top" wrapText="1"/>
    </xf>
    <xf numFmtId="0" fontId="47" fillId="0" borderId="0" xfId="0" applyFont="1" applyAlignment="1">
      <alignment vertical="top"/>
    </xf>
    <xf numFmtId="0" fontId="17"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5" fillId="0" borderId="0" xfId="0" applyFont="1" applyAlignment="1">
      <alignment horizontal="center"/>
    </xf>
    <xf numFmtId="49" fontId="24" fillId="0" borderId="0" xfId="0" applyNumberFormat="1" applyFont="1" applyAlignment="1">
      <alignment horizontal="center"/>
    </xf>
    <xf numFmtId="0" fontId="44" fillId="0" borderId="0" xfId="0" applyFont="1" applyAlignment="1">
      <alignment horizontal="center"/>
    </xf>
    <xf numFmtId="0" fontId="46" fillId="0" borderId="3" xfId="0" applyFont="1" applyBorder="1"/>
    <xf numFmtId="169" fontId="0" fillId="0" borderId="0" xfId="0" applyNumberFormat="1" applyAlignment="1">
      <alignment horizontal="center"/>
    </xf>
    <xf numFmtId="0" fontId="47" fillId="0" borderId="4" xfId="0" applyFont="1" applyBorder="1" applyAlignment="1">
      <alignment horizontal="right"/>
    </xf>
    <xf numFmtId="0" fontId="52" fillId="0" borderId="0" xfId="0" applyFont="1"/>
    <xf numFmtId="169" fontId="17" fillId="0" borderId="0" xfId="0" applyNumberFormat="1" applyFont="1" applyAlignment="1">
      <alignment horizontal="left" vertical="top"/>
    </xf>
    <xf numFmtId="0" fontId="49" fillId="0" borderId="0" xfId="0" applyFont="1" applyAlignment="1">
      <alignment horizontal="right" vertical="top" wrapText="1"/>
    </xf>
    <xf numFmtId="0" fontId="49" fillId="0" borderId="14" xfId="0" applyFont="1" applyBorder="1" applyAlignment="1">
      <alignment vertical="top" wrapText="1"/>
    </xf>
    <xf numFmtId="0" fontId="49" fillId="0" borderId="11" xfId="0" applyFont="1" applyBorder="1" applyAlignment="1" applyProtection="1">
      <alignment vertical="top"/>
      <protection locked="0"/>
    </xf>
    <xf numFmtId="0" fontId="24" fillId="0" borderId="0" xfId="542" applyFont="1" applyProtection="1">
      <protection locked="0"/>
    </xf>
    <xf numFmtId="0" fontId="17" fillId="0" borderId="0" xfId="539" applyProtection="1"/>
    <xf numFmtId="0" fontId="24" fillId="0" borderId="0" xfId="543" applyFont="1"/>
    <xf numFmtId="0" fontId="17" fillId="0" borderId="0" xfId="0" applyFont="1" applyProtection="1">
      <protection locked="0"/>
    </xf>
    <xf numFmtId="0" fontId="55"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9" fontId="24" fillId="0" borderId="2" xfId="543" applyNumberFormat="1" applyFont="1" applyBorder="1" applyAlignment="1">
      <alignment horizontal="center" vertical="center"/>
    </xf>
    <xf numFmtId="0" fontId="22" fillId="0" borderId="0" xfId="0" applyFont="1"/>
    <xf numFmtId="0" fontId="57" fillId="0" borderId="0" xfId="0" applyFont="1"/>
    <xf numFmtId="0" fontId="55" fillId="0" borderId="0" xfId="0" applyFont="1"/>
    <xf numFmtId="10" fontId="0" fillId="0" borderId="0" xfId="0" applyNumberFormat="1" applyAlignment="1">
      <alignment horizontal="center"/>
    </xf>
    <xf numFmtId="3" fontId="0" fillId="0" borderId="0" xfId="0" applyNumberFormat="1"/>
    <xf numFmtId="169" fontId="24" fillId="0" borderId="0" xfId="0" applyNumberFormat="1" applyFont="1" applyAlignment="1">
      <alignment horizontal="center"/>
    </xf>
    <xf numFmtId="3" fontId="26" fillId="0" borderId="0" xfId="0" applyNumberFormat="1" applyFont="1"/>
    <xf numFmtId="0" fontId="56" fillId="0" borderId="0" xfId="0" applyFont="1"/>
    <xf numFmtId="169" fontId="22" fillId="0" borderId="0" xfId="0" applyNumberFormat="1" applyFont="1"/>
    <xf numFmtId="10" fontId="22" fillId="0" borderId="0" xfId="0" applyNumberFormat="1" applyFont="1" applyAlignment="1">
      <alignment horizontal="center"/>
    </xf>
    <xf numFmtId="3" fontId="59" fillId="0" borderId="0" xfId="0" applyNumberFormat="1" applyFont="1"/>
    <xf numFmtId="3" fontId="22" fillId="0" borderId="0" xfId="0" applyNumberFormat="1" applyFont="1"/>
    <xf numFmtId="169" fontId="56" fillId="0" borderId="0" xfId="0" applyNumberFormat="1" applyFont="1"/>
    <xf numFmtId="169" fontId="56"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3" fontId="22" fillId="0" borderId="0" xfId="0" applyNumberFormat="1" applyFont="1"/>
    <xf numFmtId="173"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3" fontId="26" fillId="0" borderId="0" xfId="0" applyNumberFormat="1" applyFont="1" applyAlignment="1">
      <alignment vertical="top"/>
    </xf>
    <xf numFmtId="10" fontId="24" fillId="0" borderId="0" xfId="0" applyNumberFormat="1" applyFont="1" applyAlignment="1">
      <alignment horizontal="center"/>
    </xf>
    <xf numFmtId="0" fontId="55" fillId="0" borderId="6" xfId="0" applyFont="1" applyBorder="1" applyAlignment="1">
      <alignment horizontal="center"/>
    </xf>
    <xf numFmtId="0" fontId="26" fillId="0" borderId="4" xfId="271" applyBorder="1"/>
    <xf numFmtId="0" fontId="26" fillId="0" borderId="6" xfId="271" applyBorder="1"/>
    <xf numFmtId="4" fontId="44" fillId="0" borderId="0" xfId="0" applyNumberFormat="1" applyFont="1" applyAlignment="1">
      <alignment horizontal="center"/>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2"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9"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9"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9"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2" fillId="2" borderId="11" xfId="271" applyFont="1" applyFill="1" applyBorder="1" applyAlignment="1" applyProtection="1">
      <alignment horizontal="left" vertical="top" wrapText="1"/>
      <protection locked="0"/>
    </xf>
    <xf numFmtId="0" fontId="46" fillId="0" borderId="11" xfId="0" applyFont="1" applyBorder="1" applyAlignment="1">
      <alignment horizontal="right" vertical="top" wrapText="1"/>
    </xf>
    <xf numFmtId="0" fontId="34" fillId="8" borderId="0" xfId="542" applyFont="1" applyFill="1"/>
    <xf numFmtId="0" fontId="46" fillId="0" borderId="11" xfId="271" applyFont="1" applyBorder="1" applyAlignment="1">
      <alignment horizontal="right" vertical="top"/>
    </xf>
    <xf numFmtId="0" fontId="46"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6" fontId="26" fillId="0" borderId="0" xfId="271" applyNumberFormat="1"/>
    <xf numFmtId="171" fontId="26" fillId="0" borderId="14" xfId="271" applyNumberFormat="1" applyBorder="1"/>
    <xf numFmtId="1" fontId="24" fillId="0" borderId="11" xfId="271" applyNumberFormat="1" applyFont="1" applyBorder="1"/>
    <xf numFmtId="166" fontId="24" fillId="0" borderId="11" xfId="271" applyNumberFormat="1" applyFont="1" applyBorder="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9"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65" fillId="0" borderId="0" xfId="0" applyFont="1" applyAlignment="1">
      <alignment horizontal="left" vertical="center"/>
    </xf>
    <xf numFmtId="49" fontId="41" fillId="0" borderId="0" xfId="0" applyNumberFormat="1" applyFont="1" applyAlignment="1">
      <alignment horizontal="center"/>
    </xf>
    <xf numFmtId="0" fontId="46" fillId="0" borderId="0" xfId="0" applyFont="1"/>
    <xf numFmtId="5" fontId="69" fillId="0" borderId="11" xfId="541" applyNumberFormat="1" applyFont="1" applyBorder="1" applyAlignment="1" applyProtection="1">
      <alignment horizontal="center"/>
    </xf>
    <xf numFmtId="5" fontId="69" fillId="42"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46" fillId="0" borderId="0" xfId="0" applyFont="1" applyAlignment="1">
      <alignment vertical="top"/>
    </xf>
    <xf numFmtId="0" fontId="46" fillId="2" borderId="0" xfId="0" applyFont="1" applyFill="1" applyAlignment="1">
      <alignment vertical="top" wrapText="1"/>
    </xf>
    <xf numFmtId="0" fontId="71" fillId="0" borderId="13" xfId="0" applyFont="1" applyBorder="1" applyAlignment="1">
      <alignment vertical="top" wrapText="1"/>
    </xf>
    <xf numFmtId="0" fontId="31" fillId="0" borderId="0" xfId="0" applyFont="1" applyAlignment="1">
      <alignment vertical="top" wrapText="1"/>
    </xf>
    <xf numFmtId="0" fontId="71" fillId="2" borderId="13" xfId="0" applyFont="1" applyFill="1" applyBorder="1" applyAlignment="1">
      <alignment vertical="top" wrapText="1"/>
    </xf>
    <xf numFmtId="0" fontId="71" fillId="0" borderId="0" xfId="0" applyFont="1" applyAlignment="1">
      <alignment vertical="top" wrapText="1"/>
    </xf>
    <xf numFmtId="0" fontId="71" fillId="2" borderId="0" xfId="0" applyFont="1" applyFill="1" applyAlignment="1">
      <alignment vertical="top" wrapText="1"/>
    </xf>
    <xf numFmtId="0" fontId="46" fillId="0" borderId="0" xfId="0" applyFont="1" applyAlignment="1">
      <alignment horizontal="right" vertical="top" wrapText="1"/>
    </xf>
    <xf numFmtId="169" fontId="46" fillId="5" borderId="6" xfId="0" applyNumberFormat="1" applyFont="1" applyFill="1" applyBorder="1" applyAlignment="1" applyProtection="1">
      <alignment horizontal="right" vertical="top" wrapText="1"/>
      <protection locked="0"/>
    </xf>
    <xf numFmtId="169" fontId="46" fillId="0" borderId="6" xfId="0" applyNumberFormat="1" applyFont="1" applyBorder="1" applyAlignment="1">
      <alignment horizontal="right" vertical="top" wrapText="1"/>
    </xf>
    <xf numFmtId="0" fontId="55"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169" fontId="46" fillId="0" borderId="11" xfId="0" applyNumberFormat="1" applyFont="1" applyBorder="1" applyAlignment="1">
      <alignment vertical="top" wrapText="1"/>
    </xf>
    <xf numFmtId="169" fontId="46" fillId="4" borderId="11" xfId="0" applyNumberFormat="1" applyFont="1" applyFill="1" applyBorder="1" applyAlignment="1">
      <alignment vertical="top" wrapText="1"/>
    </xf>
    <xf numFmtId="0" fontId="95" fillId="0" borderId="0" xfId="0" applyFont="1" applyAlignment="1">
      <alignment horizontal="left" vertical="top"/>
    </xf>
    <xf numFmtId="0" fontId="96" fillId="0" borderId="0" xfId="0" applyFont="1" applyAlignment="1">
      <alignment horizontal="left" vertical="top"/>
    </xf>
    <xf numFmtId="0" fontId="6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54" fillId="8" borderId="11" xfId="542" applyFont="1" applyFill="1" applyBorder="1" applyAlignment="1">
      <alignment horizontal="left"/>
    </xf>
    <xf numFmtId="0" fontId="54"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31" fillId="0" borderId="8" xfId="569" applyFont="1" applyBorder="1" applyAlignment="1">
      <alignment vertical="top" wrapText="1"/>
    </xf>
    <xf numFmtId="0" fontId="31" fillId="0" borderId="0" xfId="569" applyFont="1" applyAlignment="1">
      <alignment vertical="top" wrapText="1"/>
    </xf>
    <xf numFmtId="0" fontId="48" fillId="2" borderId="11" xfId="569" applyFont="1" applyFill="1" applyBorder="1" applyAlignment="1">
      <alignment horizontal="left" vertical="top" wrapText="1"/>
    </xf>
    <xf numFmtId="6" fontId="46" fillId="4" borderId="11" xfId="569" applyNumberFormat="1" applyFont="1" applyFill="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6" fontId="46" fillId="0" borderId="11" xfId="569" applyNumberFormat="1" applyFont="1" applyBorder="1" applyAlignment="1">
      <alignment vertical="top" wrapText="1"/>
    </xf>
    <xf numFmtId="6" fontId="46" fillId="5" borderId="11" xfId="569" applyNumberFormat="1" applyFont="1" applyFill="1" applyBorder="1" applyAlignment="1" applyProtection="1">
      <alignment vertical="top" wrapText="1"/>
      <protection locked="0"/>
    </xf>
    <xf numFmtId="6" fontId="46" fillId="6" borderId="11" xfId="569" applyNumberFormat="1" applyFont="1" applyFill="1" applyBorder="1" applyAlignment="1">
      <alignment horizontal="center" vertical="top" wrapText="1"/>
    </xf>
    <xf numFmtId="0" fontId="46" fillId="0" borderId="11" xfId="569" applyFont="1" applyBorder="1" applyAlignment="1">
      <alignment horizontal="right" vertical="top" wrapText="1"/>
    </xf>
    <xf numFmtId="0" fontId="47" fillId="0" borderId="11" xfId="569" applyFont="1" applyBorder="1" applyAlignment="1">
      <alignment horizontal="right" vertical="top" wrapText="1"/>
    </xf>
    <xf numFmtId="0" fontId="46" fillId="0" borderId="11" xfId="569" applyFont="1" applyBorder="1" applyAlignment="1">
      <alignment horizontal="right" vertical="top"/>
    </xf>
    <xf numFmtId="6" fontId="47" fillId="0" borderId="11" xfId="569" applyNumberFormat="1" applyFont="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0" fontId="20" fillId="0" borderId="11" xfId="569" applyFont="1" applyBorder="1" applyAlignment="1">
      <alignment horizontal="right" vertical="top" wrapText="1"/>
    </xf>
    <xf numFmtId="0" fontId="47" fillId="0" borderId="0" xfId="569" applyFont="1" applyAlignment="1">
      <alignment horizontal="left" vertical="top"/>
    </xf>
    <xf numFmtId="6" fontId="46" fillId="0" borderId="0" xfId="569" applyNumberFormat="1" applyFont="1" applyAlignment="1">
      <alignment horizontal="left" vertical="top"/>
    </xf>
    <xf numFmtId="0" fontId="96" fillId="0" borderId="0" xfId="569" applyFont="1" applyAlignment="1">
      <alignment horizontal="left" vertical="top"/>
    </xf>
    <xf numFmtId="6" fontId="46" fillId="0" borderId="0" xfId="569" applyNumberFormat="1" applyFont="1" applyAlignment="1">
      <alignment vertical="top" wrapText="1"/>
    </xf>
    <xf numFmtId="0" fontId="46" fillId="0" borderId="0" xfId="569" applyFont="1" applyAlignment="1">
      <alignment horizontal="left" vertical="top"/>
    </xf>
    <xf numFmtId="0" fontId="46" fillId="0" borderId="12" xfId="569" applyFont="1" applyBorder="1" applyAlignment="1">
      <alignment vertical="top" wrapText="1"/>
    </xf>
    <xf numFmtId="0" fontId="24" fillId="0" borderId="0" xfId="569" applyFont="1" applyAlignment="1">
      <alignment horizontal="left" vertical="top"/>
    </xf>
    <xf numFmtId="0" fontId="99" fillId="0" borderId="0" xfId="569" applyFont="1" applyAlignment="1">
      <alignment horizontal="left" vertical="top"/>
    </xf>
    <xf numFmtId="0" fontId="55"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46" fillId="0" borderId="0" xfId="569" applyFont="1" applyAlignment="1">
      <alignment vertical="top"/>
    </xf>
    <xf numFmtId="169" fontId="46" fillId="0" borderId="0" xfId="569" applyNumberFormat="1" applyFont="1" applyAlignment="1" applyProtection="1">
      <alignment horizontal="right" vertical="top" wrapText="1"/>
      <protection locked="0"/>
    </xf>
    <xf numFmtId="0" fontId="17" fillId="0" borderId="0" xfId="569" applyAlignment="1">
      <alignment vertical="top"/>
    </xf>
    <xf numFmtId="0" fontId="46" fillId="0" borderId="0" xfId="569" applyFont="1" applyAlignment="1">
      <alignment horizontal="right" vertical="top" wrapText="1"/>
    </xf>
    <xf numFmtId="0" fontId="24" fillId="0" borderId="0" xfId="569" applyFont="1" applyAlignment="1">
      <alignment horizontal="left" vertical="top" wrapText="1"/>
    </xf>
    <xf numFmtId="169" fontId="46"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71" fillId="0" borderId="0" xfId="569" applyFont="1" applyAlignment="1">
      <alignment vertical="top" wrapText="1"/>
    </xf>
    <xf numFmtId="0" fontId="71" fillId="0" borderId="12" xfId="569" applyFont="1" applyBorder="1" applyAlignment="1">
      <alignment vertical="top" wrapText="1"/>
    </xf>
    <xf numFmtId="0" fontId="71" fillId="0" borderId="8" xfId="569" applyFont="1" applyBorder="1" applyAlignment="1">
      <alignment vertical="top" wrapText="1"/>
    </xf>
    <xf numFmtId="0" fontId="31" fillId="0" borderId="0" xfId="569" applyFont="1" applyAlignment="1">
      <alignment horizontal="right" vertical="top" wrapText="1"/>
    </xf>
    <xf numFmtId="0" fontId="71" fillId="0" borderId="0" xfId="569" applyFont="1" applyAlignment="1">
      <alignment horizontal="right" vertical="top" wrapText="1"/>
    </xf>
    <xf numFmtId="0" fontId="47" fillId="0" borderId="3" xfId="569" applyFont="1" applyBorder="1" applyAlignment="1">
      <alignment horizontal="left"/>
    </xf>
    <xf numFmtId="0" fontId="47" fillId="0" borderId="13" xfId="569" applyFont="1" applyBorder="1" applyAlignment="1">
      <alignment horizontal="center" wrapText="1"/>
    </xf>
    <xf numFmtId="0" fontId="47" fillId="0" borderId="8" xfId="569" applyFont="1" applyBorder="1" applyAlignment="1">
      <alignment horizontal="center" wrapText="1"/>
    </xf>
    <xf numFmtId="0" fontId="47"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vertical="center"/>
    </xf>
    <xf numFmtId="0" fontId="36"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5" fontId="17" fillId="0" borderId="0" xfId="569" applyNumberFormat="1" applyAlignment="1">
      <alignment horizontal="right"/>
    </xf>
    <xf numFmtId="169" fontId="17" fillId="0" borderId="0" xfId="569" applyNumberFormat="1" applyAlignment="1">
      <alignment horizontal="right"/>
    </xf>
    <xf numFmtId="0" fontId="97" fillId="0" borderId="0" xfId="569" applyFont="1" applyAlignment="1">
      <alignment horizontal="left" vertical="top" wrapText="1"/>
    </xf>
    <xf numFmtId="169"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56" fillId="0" borderId="0" xfId="271" applyFont="1" applyAlignment="1">
      <alignment horizontal="left"/>
    </xf>
    <xf numFmtId="0" fontId="56" fillId="0" borderId="0" xfId="271" applyFont="1" applyAlignment="1">
      <alignment horizontal="right"/>
    </xf>
    <xf numFmtId="169" fontId="22" fillId="0" borderId="11" xfId="271" applyNumberFormat="1" applyFont="1" applyBorder="1"/>
    <xf numFmtId="169" fontId="22" fillId="0" borderId="0" xfId="271" applyNumberFormat="1" applyFont="1"/>
    <xf numFmtId="0" fontId="17" fillId="0" borderId="3" xfId="569" applyBorder="1"/>
    <xf numFmtId="0" fontId="98" fillId="0" borderId="0" xfId="1834"/>
    <xf numFmtId="0" fontId="0" fillId="0" borderId="0" xfId="0" applyAlignment="1">
      <alignment horizontal="left" vertical="top"/>
    </xf>
    <xf numFmtId="0" fontId="97" fillId="0" borderId="0" xfId="0" applyFont="1" applyAlignment="1">
      <alignment vertical="top" wrapText="1"/>
    </xf>
    <xf numFmtId="0" fontId="46" fillId="0" borderId="0" xfId="271" applyFont="1" applyAlignment="1">
      <alignment vertical="top" wrapText="1"/>
    </xf>
    <xf numFmtId="0" fontId="24" fillId="0" borderId="12" xfId="543" applyFont="1" applyBorder="1" applyAlignment="1">
      <alignment horizontal="right"/>
    </xf>
    <xf numFmtId="0" fontId="40" fillId="0" borderId="0" xfId="1192" applyFont="1"/>
    <xf numFmtId="0" fontId="46" fillId="0" borderId="11" xfId="0" applyFont="1" applyBorder="1" applyAlignment="1">
      <alignment horizontal="right" vertical="center"/>
    </xf>
    <xf numFmtId="0" fontId="40" fillId="0" borderId="0" xfId="0" applyFont="1" applyAlignment="1">
      <alignment vertical="top" wrapText="1"/>
    </xf>
    <xf numFmtId="6" fontId="47" fillId="0" borderId="0" xfId="569" applyNumberFormat="1" applyFont="1" applyAlignment="1">
      <alignment horizontal="right" vertical="top"/>
    </xf>
    <xf numFmtId="169" fontId="26" fillId="0" borderId="28" xfId="540" applyNumberFormat="1" applyBorder="1" applyAlignment="1" applyProtection="1">
      <alignment horizontal="center"/>
    </xf>
    <xf numFmtId="169" fontId="26" fillId="0" borderId="29" xfId="540" applyNumberFormat="1" applyBorder="1" applyAlignment="1" applyProtection="1">
      <alignment horizontal="center"/>
    </xf>
    <xf numFmtId="169" fontId="26" fillId="0" borderId="30" xfId="540" applyNumberFormat="1" applyBorder="1" applyAlignment="1" applyProtection="1">
      <alignment horizontal="center"/>
    </xf>
    <xf numFmtId="169" fontId="26" fillId="0" borderId="31" xfId="540" applyNumberFormat="1" applyBorder="1" applyAlignment="1" applyProtection="1">
      <alignment horizontal="center"/>
    </xf>
    <xf numFmtId="169" fontId="26" fillId="0" borderId="32" xfId="540" applyNumberFormat="1" applyBorder="1" applyAlignment="1" applyProtection="1">
      <alignment horizontal="center"/>
    </xf>
    <xf numFmtId="169" fontId="26" fillId="0" borderId="33" xfId="540" applyNumberFormat="1" applyBorder="1" applyAlignment="1" applyProtection="1">
      <alignment horizontal="center"/>
    </xf>
    <xf numFmtId="169" fontId="26" fillId="0" borderId="34" xfId="540" applyNumberFormat="1" applyBorder="1" applyAlignment="1" applyProtection="1">
      <alignment horizontal="center"/>
    </xf>
    <xf numFmtId="169" fontId="26" fillId="0" borderId="35" xfId="540" applyNumberFormat="1" applyBorder="1" applyAlignment="1" applyProtection="1">
      <alignment horizontal="center"/>
    </xf>
    <xf numFmtId="169" fontId="26" fillId="0" borderId="36" xfId="540" applyNumberFormat="1" applyBorder="1" applyAlignment="1" applyProtection="1">
      <alignment horizontal="center"/>
    </xf>
    <xf numFmtId="169" fontId="26" fillId="0" borderId="37" xfId="540" applyNumberFormat="1" applyBorder="1" applyAlignment="1" applyProtection="1">
      <alignment horizontal="center"/>
    </xf>
    <xf numFmtId="169" fontId="26" fillId="0" borderId="38" xfId="540" applyNumberFormat="1" applyBorder="1" applyAlignment="1" applyProtection="1">
      <alignment horizontal="center"/>
    </xf>
    <xf numFmtId="169" fontId="26" fillId="0" borderId="39" xfId="540" applyNumberFormat="1" applyBorder="1" applyAlignment="1" applyProtection="1">
      <alignment horizontal="center"/>
    </xf>
    <xf numFmtId="169" fontId="26" fillId="0" borderId="40" xfId="540" applyNumberFormat="1" applyBorder="1" applyAlignment="1" applyProtection="1">
      <alignment horizontal="center"/>
    </xf>
    <xf numFmtId="169" fontId="26" fillId="0" borderId="0" xfId="540" applyNumberFormat="1" applyAlignment="1" applyProtection="1">
      <alignment horizontal="center"/>
    </xf>
    <xf numFmtId="169" fontId="26" fillId="0" borderId="14" xfId="540" applyNumberFormat="1" applyBorder="1" applyAlignment="1" applyProtection="1">
      <alignment horizontal="center"/>
    </xf>
    <xf numFmtId="169" fontId="26" fillId="0" borderId="41" xfId="540" applyNumberFormat="1" applyBorder="1" applyAlignment="1" applyProtection="1">
      <alignment horizontal="center"/>
    </xf>
    <xf numFmtId="169" fontId="26" fillId="0" borderId="42" xfId="540" applyNumberFormat="1" applyBorder="1" applyAlignment="1" applyProtection="1">
      <alignment horizontal="center"/>
    </xf>
    <xf numFmtId="169" fontId="26" fillId="0" borderId="43" xfId="540" applyNumberFormat="1" applyBorder="1" applyAlignment="1" applyProtection="1">
      <alignment horizontal="center"/>
    </xf>
    <xf numFmtId="169" fontId="26" fillId="0" borderId="44" xfId="540" applyNumberFormat="1" applyBorder="1" applyAlignment="1" applyProtection="1">
      <alignment horizontal="center"/>
    </xf>
    <xf numFmtId="0" fontId="17" fillId="0" borderId="0" xfId="1192"/>
    <xf numFmtId="0" fontId="40" fillId="0" borderId="0" xfId="0" applyFont="1" applyAlignment="1">
      <alignment horizontal="left" vertical="top"/>
    </xf>
    <xf numFmtId="0" fontId="40" fillId="0" borderId="0" xfId="0" applyFont="1" applyAlignment="1">
      <alignment vertical="top"/>
    </xf>
    <xf numFmtId="0" fontId="17" fillId="0" borderId="0" xfId="569" applyAlignment="1">
      <alignment horizontal="center"/>
    </xf>
    <xf numFmtId="49" fontId="24" fillId="0" borderId="0" xfId="569" applyNumberFormat="1" applyFont="1" applyAlignment="1">
      <alignment horizontal="center"/>
    </xf>
    <xf numFmtId="0" fontId="44"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44"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2" fillId="0" borderId="0" xfId="569" applyFont="1" applyAlignment="1">
      <alignment horizontal="left"/>
    </xf>
    <xf numFmtId="4" fontId="44"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1" fillId="0" borderId="0" xfId="569" applyFont="1" applyAlignment="1">
      <alignment horizontal="left"/>
    </xf>
    <xf numFmtId="0" fontId="18" fillId="0" borderId="0" xfId="244" applyNumberFormat="1" applyFill="1" applyAlignment="1" applyProtection="1">
      <alignment horizontal="left"/>
      <protection locked="0"/>
    </xf>
    <xf numFmtId="0" fontId="46" fillId="0" borderId="11" xfId="0" applyFont="1" applyBorder="1" applyAlignment="1" applyProtection="1">
      <alignment horizontal="right" vertical="top" wrapText="1"/>
      <protection locked="0"/>
    </xf>
    <xf numFmtId="0" fontId="17" fillId="0" borderId="11" xfId="271" applyFont="1" applyBorder="1" applyAlignment="1">
      <alignment horizontal="right" vertical="top" wrapText="1"/>
    </xf>
    <xf numFmtId="0" fontId="25" fillId="0" borderId="0" xfId="569" applyFont="1" applyAlignment="1">
      <alignment horizontal="left"/>
    </xf>
    <xf numFmtId="0" fontId="95" fillId="0" borderId="0" xfId="0" applyFont="1"/>
    <xf numFmtId="0" fontId="106" fillId="0" borderId="0" xfId="0" applyFont="1" applyAlignment="1">
      <alignment horizontal="left" vertical="top"/>
    </xf>
    <xf numFmtId="0" fontId="107" fillId="0" borderId="0" xfId="0" applyFont="1" applyAlignment="1">
      <alignment horizontal="left" vertical="top"/>
    </xf>
    <xf numFmtId="169" fontId="25" fillId="0" borderId="0" xfId="0" applyNumberFormat="1" applyFont="1" applyAlignment="1">
      <alignment horizontal="left" vertical="top" wrapText="1"/>
    </xf>
    <xf numFmtId="169" fontId="46" fillId="5" borderId="11" xfId="0" applyNumberFormat="1" applyFont="1" applyFill="1" applyBorder="1" applyAlignment="1">
      <alignment vertical="top" wrapText="1"/>
    </xf>
    <xf numFmtId="0" fontId="17" fillId="0" borderId="0" xfId="271" applyFont="1" applyAlignment="1">
      <alignment horizontal="left" vertical="top"/>
    </xf>
    <xf numFmtId="0" fontId="46" fillId="0" borderId="0" xfId="569" applyFont="1"/>
    <xf numFmtId="4" fontId="17" fillId="0" borderId="0" xfId="1192" applyNumberFormat="1" applyAlignment="1">
      <alignment vertical="top" wrapText="1"/>
    </xf>
    <xf numFmtId="0" fontId="24" fillId="0" borderId="16" xfId="271" applyFont="1" applyBorder="1"/>
    <xf numFmtId="0" fontId="51" fillId="0" borderId="0" xfId="569" applyFont="1"/>
    <xf numFmtId="0" fontId="36" fillId="0" borderId="0" xfId="569" applyFont="1"/>
    <xf numFmtId="49" fontId="17" fillId="0" borderId="0" xfId="1192" applyNumberFormat="1" applyAlignment="1">
      <alignment vertical="top" wrapText="1"/>
    </xf>
    <xf numFmtId="0" fontId="48" fillId="0" borderId="9" xfId="543" applyFont="1" applyBorder="1" applyAlignment="1">
      <alignment vertical="top"/>
    </xf>
    <xf numFmtId="0" fontId="17" fillId="0" borderId="0" xfId="0" applyFont="1" applyAlignment="1">
      <alignment vertical="center"/>
    </xf>
    <xf numFmtId="0" fontId="108" fillId="0" borderId="0" xfId="0" applyFont="1"/>
    <xf numFmtId="3" fontId="95" fillId="0" borderId="0" xfId="0" applyNumberFormat="1" applyFont="1"/>
    <xf numFmtId="0" fontId="95" fillId="0" borderId="0" xfId="0" applyFont="1" applyAlignment="1">
      <alignment horizontal="left"/>
    </xf>
    <xf numFmtId="169" fontId="109" fillId="0" borderId="0" xfId="0" applyNumberFormat="1" applyFont="1" applyAlignment="1">
      <alignment horizontal="left" vertical="top"/>
    </xf>
    <xf numFmtId="0" fontId="95" fillId="0" borderId="0" xfId="0" applyFont="1" applyAlignment="1">
      <alignment horizontal="left" vertical="center"/>
    </xf>
    <xf numFmtId="0" fontId="111" fillId="0" borderId="0" xfId="0" applyFont="1"/>
    <xf numFmtId="173"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35" fillId="0" borderId="0" xfId="4495" applyFont="1" applyAlignment="1">
      <alignment horizontal="left" vertical="center"/>
    </xf>
    <xf numFmtId="0" fontId="17" fillId="0" borderId="0" xfId="1192" quotePrefix="1" applyAlignment="1">
      <alignment horizontal="center"/>
    </xf>
    <xf numFmtId="0" fontId="41"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13" fillId="0" borderId="53" xfId="4496" applyFont="1" applyBorder="1" applyAlignment="1">
      <alignment horizontal="left" vertical="top"/>
    </xf>
    <xf numFmtId="0" fontId="17" fillId="0" borderId="0" xfId="4495" applyFont="1" applyAlignment="1">
      <alignment horizontal="left" vertical="center"/>
    </xf>
    <xf numFmtId="0" fontId="114" fillId="0" borderId="0" xfId="4496" applyFont="1" applyAlignment="1">
      <alignment vertical="center"/>
    </xf>
    <xf numFmtId="0" fontId="112" fillId="0" borderId="0" xfId="4496" applyFont="1"/>
    <xf numFmtId="0" fontId="112" fillId="0" borderId="0" xfId="4496" applyFont="1" applyAlignment="1">
      <alignment vertical="center"/>
    </xf>
    <xf numFmtId="0" fontId="11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5" fontId="11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1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12" fillId="0" borderId="53" xfId="4496" applyFont="1" applyBorder="1" applyAlignment="1">
      <alignment vertical="top" wrapText="1"/>
    </xf>
    <xf numFmtId="0" fontId="112" fillId="0" borderId="0" xfId="4496" applyFont="1" applyAlignment="1">
      <alignment vertical="top" wrapText="1"/>
    </xf>
    <xf numFmtId="10" fontId="112" fillId="0" borderId="0" xfId="4496" applyNumberFormat="1" applyFont="1" applyAlignment="1">
      <alignment vertical="top" wrapText="1"/>
    </xf>
    <xf numFmtId="0" fontId="112" fillId="0" borderId="54" xfId="4496" applyFont="1" applyBorder="1" applyAlignment="1">
      <alignment vertical="top" wrapText="1"/>
    </xf>
    <xf numFmtId="0" fontId="112" fillId="0" borderId="0" xfId="4496" applyFont="1" applyAlignment="1">
      <alignment vertical="top"/>
    </xf>
    <xf numFmtId="166" fontId="11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1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8" xfId="4495" applyFont="1" applyBorder="1"/>
    <xf numFmtId="0" fontId="25" fillId="0" borderId="0" xfId="4495" applyFont="1" applyAlignment="1">
      <alignment horizontal="left"/>
    </xf>
    <xf numFmtId="0" fontId="17" fillId="0" borderId="0" xfId="4495" applyFont="1" applyAlignment="1">
      <alignment horizontal="center"/>
    </xf>
    <xf numFmtId="0" fontId="33" fillId="0" borderId="0" xfId="4495" applyFont="1"/>
    <xf numFmtId="0" fontId="25" fillId="0" borderId="8" xfId="4495" applyFont="1" applyBorder="1"/>
    <xf numFmtId="0" fontId="46"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46"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5"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1" fontId="110" fillId="0" borderId="0" xfId="4495" applyNumberFormat="1"/>
    <xf numFmtId="0" fontId="17" fillId="0" borderId="0" xfId="4495" applyFont="1" applyAlignment="1">
      <alignmen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7" fillId="0" borderId="53" xfId="4495" applyFont="1" applyBorder="1" applyAlignment="1">
      <alignment vertical="top"/>
    </xf>
    <xf numFmtId="0" fontId="17" fillId="0" borderId="54" xfId="4495" applyFont="1" applyBorder="1" applyAlignment="1">
      <alignment vertical="top" wrapText="1"/>
    </xf>
    <xf numFmtId="0" fontId="52"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52"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1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1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quotePrefix="1" applyFont="1"/>
    <xf numFmtId="0" fontId="25" fillId="0" borderId="0" xfId="4495" applyFont="1" applyAlignment="1">
      <alignment horizontal="left" vertical="top" shrinkToFit="1"/>
    </xf>
    <xf numFmtId="0" fontId="41" fillId="0" borderId="0" xfId="4495" applyFont="1"/>
    <xf numFmtId="0" fontId="25" fillId="0" borderId="3" xfId="4495" applyFont="1" applyBorder="1" applyAlignment="1">
      <alignment horizontal="center"/>
    </xf>
    <xf numFmtId="0" fontId="110" fillId="0" borderId="8" xfId="4495" applyBorder="1"/>
    <xf numFmtId="0" fontId="24" fillId="0" borderId="8" xfId="4495" applyFont="1" applyBorder="1" applyAlignment="1">
      <alignment vertical="top"/>
    </xf>
    <xf numFmtId="0" fontId="110" fillId="0" borderId="0" xfId="4495" applyAlignment="1">
      <alignment vertical="top"/>
    </xf>
    <xf numFmtId="0" fontId="24"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9" fontId="17" fillId="0" borderId="0" xfId="4497" applyNumberFormat="1"/>
    <xf numFmtId="1" fontId="25" fillId="0" borderId="0" xfId="4495" applyNumberFormat="1" applyFont="1" applyAlignment="1">
      <alignment horizontal="center" vertical="top"/>
    </xf>
    <xf numFmtId="0" fontId="120" fillId="0" borderId="0" xfId="4495" applyFont="1" applyAlignment="1">
      <alignment vertical="top" wrapText="1"/>
    </xf>
    <xf numFmtId="0" fontId="25" fillId="0" borderId="6" xfId="4495" applyFont="1" applyBorder="1"/>
    <xf numFmtId="1" fontId="25" fillId="0" borderId="8" xfId="4495" applyNumberFormat="1" applyFont="1" applyBorder="1" applyAlignment="1">
      <alignment horizontal="center" vertical="top"/>
    </xf>
    <xf numFmtId="0" fontId="110" fillId="0" borderId="12" xfId="4495" applyBorder="1"/>
    <xf numFmtId="0" fontId="25" fillId="0" borderId="9" xfId="4495" applyFont="1" applyBorder="1"/>
    <xf numFmtId="0" fontId="110" fillId="0" borderId="10" xfId="4495" applyBorder="1"/>
    <xf numFmtId="0" fontId="33" fillId="0" borderId="3" xfId="4495" applyFont="1" applyBorder="1"/>
    <xf numFmtId="0" fontId="24" fillId="0" borderId="4" xfId="4495" applyFont="1" applyBorder="1"/>
    <xf numFmtId="0" fontId="110" fillId="0" borderId="12" xfId="4495" applyBorder="1" applyAlignment="1">
      <alignment vertical="top"/>
    </xf>
    <xf numFmtId="0" fontId="33"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3" fillId="0" borderId="9" xfId="4495" applyFont="1" applyBorder="1"/>
    <xf numFmtId="0" fontId="25" fillId="0" borderId="10" xfId="4495" applyFont="1" applyBorder="1"/>
    <xf numFmtId="0" fontId="12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33" fillId="0" borderId="0" xfId="4495" applyFont="1" applyAlignment="1">
      <alignment vertical="top"/>
    </xf>
    <xf numFmtId="0" fontId="25" fillId="0" borderId="61" xfId="4495" applyFont="1" applyBorder="1"/>
    <xf numFmtId="0" fontId="11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10" fillId="0" borderId="61" xfId="4495" applyBorder="1"/>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1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19" fillId="0" borderId="0" xfId="4495" applyFont="1"/>
    <xf numFmtId="0" fontId="11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1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46" fillId="0" borderId="0" xfId="4495" applyFont="1" applyAlignment="1">
      <alignment horizontal="left" vertical="top"/>
    </xf>
    <xf numFmtId="0" fontId="25" fillId="0" borderId="0" xfId="4495" quotePrefix="1" applyFont="1" applyAlignment="1">
      <alignment horizontal="center" vertical="top"/>
    </xf>
    <xf numFmtId="0" fontId="47" fillId="0" borderId="0" xfId="4495" applyFont="1" applyAlignment="1">
      <alignment horizontal="center"/>
    </xf>
    <xf numFmtId="0" fontId="47" fillId="0" borderId="0" xfId="4495" applyFont="1" applyAlignment="1">
      <alignment vertical="top"/>
    </xf>
    <xf numFmtId="0" fontId="97" fillId="0" borderId="0" xfId="4495" applyFont="1"/>
    <xf numFmtId="0" fontId="46"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46" fillId="0" borderId="51" xfId="4495" applyFont="1" applyBorder="1" applyAlignment="1">
      <alignment horizontal="left" vertical="top"/>
    </xf>
    <xf numFmtId="0" fontId="110" fillId="0" borderId="53" xfId="4495" applyBorder="1"/>
    <xf numFmtId="0" fontId="97" fillId="0" borderId="0" xfId="4495" applyFont="1" applyAlignment="1">
      <alignment horizontal="left" vertical="top"/>
    </xf>
    <xf numFmtId="1" fontId="24" fillId="0" borderId="58" xfId="4495" applyNumberFormat="1" applyFont="1" applyBorder="1" applyAlignment="1">
      <alignment vertical="top"/>
    </xf>
    <xf numFmtId="173" fontId="24" fillId="0" borderId="8" xfId="543" applyNumberFormat="1" applyFont="1" applyBorder="1"/>
    <xf numFmtId="173"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1"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1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181" fontId="55" fillId="0" borderId="0" xfId="4495" applyNumberFormat="1" applyFont="1" applyAlignment="1">
      <alignment horizontal="center" vertical="center"/>
    </xf>
    <xf numFmtId="0" fontId="17" fillId="0" borderId="12" xfId="4495" applyFont="1" applyBorder="1" applyAlignment="1">
      <alignment vertical="top"/>
    </xf>
    <xf numFmtId="0" fontId="41" fillId="0" borderId="0" xfId="4495" applyFont="1" applyAlignment="1">
      <alignmen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right"/>
    </xf>
    <xf numFmtId="0" fontId="17" fillId="0" borderId="59" xfId="4495" applyFont="1" applyBorder="1" applyAlignment="1">
      <alignment horizontal="right"/>
    </xf>
    <xf numFmtId="0" fontId="41"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9" fontId="17" fillId="0" borderId="0" xfId="1192" applyNumberFormat="1"/>
    <xf numFmtId="166" fontId="17" fillId="0" borderId="0" xfId="1192" applyNumberFormat="1"/>
    <xf numFmtId="2" fontId="17" fillId="0" borderId="0" xfId="1192" applyNumberFormat="1"/>
    <xf numFmtId="6" fontId="17" fillId="0" borderId="0" xfId="1192" applyNumberFormat="1"/>
    <xf numFmtId="0" fontId="24" fillId="0" borderId="0" xfId="1192" applyFont="1"/>
    <xf numFmtId="0" fontId="41" fillId="0" borderId="0" xfId="1192" applyFont="1"/>
    <xf numFmtId="169" fontId="17" fillId="0" borderId="0" xfId="4495" applyNumberFormat="1" applyFont="1"/>
    <xf numFmtId="0" fontId="24" fillId="0" borderId="0" xfId="1192" applyFont="1" applyAlignment="1">
      <alignment vertical="center"/>
    </xf>
    <xf numFmtId="0" fontId="108" fillId="0" borderId="0" xfId="1192" applyFont="1" applyAlignment="1">
      <alignment horizontal="left"/>
    </xf>
    <xf numFmtId="0" fontId="105" fillId="0" borderId="0" xfId="1192" applyFont="1" applyAlignment="1">
      <alignment horizontal="left"/>
    </xf>
    <xf numFmtId="0" fontId="105" fillId="0" borderId="0" xfId="1192" applyFont="1" applyAlignment="1">
      <alignment horizontal="center"/>
    </xf>
    <xf numFmtId="169" fontId="17" fillId="0" borderId="0" xfId="1192" applyNumberFormat="1" applyAlignment="1">
      <alignment horizontal="center"/>
    </xf>
    <xf numFmtId="9" fontId="17" fillId="0" borderId="0" xfId="1192" applyNumberFormat="1"/>
    <xf numFmtId="0" fontId="17" fillId="0" borderId="53" xfId="4495" applyFont="1" applyBorder="1" applyAlignment="1">
      <alignment horizontal="left"/>
    </xf>
    <xf numFmtId="6" fontId="24" fillId="0" borderId="0" xfId="1192" applyNumberFormat="1" applyFont="1" applyAlignment="1">
      <alignment horizontal="right"/>
    </xf>
    <xf numFmtId="166" fontId="17" fillId="0" borderId="0" xfId="4495" applyNumberFormat="1" applyFont="1"/>
    <xf numFmtId="0" fontId="47" fillId="0" borderId="4" xfId="4495" applyFont="1" applyBorder="1"/>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6" fontId="112" fillId="0" borderId="0" xfId="4496" applyNumberFormat="1" applyFont="1" applyAlignment="1">
      <alignment horizontal="center" vertical="top" wrapText="1"/>
    </xf>
    <xf numFmtId="169" fontId="112" fillId="0" borderId="0" xfId="4496" applyNumberFormat="1" applyFont="1" applyAlignment="1">
      <alignment vertical="top" wrapText="1"/>
    </xf>
    <xf numFmtId="166" fontId="112" fillId="0" borderId="64" xfId="4496" applyNumberFormat="1" applyFont="1" applyBorder="1" applyAlignment="1">
      <alignment horizontal="center" vertical="top" wrapText="1"/>
    </xf>
    <xf numFmtId="166" fontId="112" fillId="0" borderId="53" xfId="4496" applyNumberFormat="1" applyFont="1" applyBorder="1" applyAlignment="1">
      <alignment horizontal="left" vertical="top"/>
    </xf>
    <xf numFmtId="166" fontId="112" fillId="0" borderId="53" xfId="4496" applyNumberFormat="1" applyFont="1" applyBorder="1" applyAlignment="1">
      <alignment horizontal="center" vertical="top" wrapText="1"/>
    </xf>
    <xf numFmtId="169" fontId="112" fillId="0" borderId="0" xfId="4496" applyNumberFormat="1" applyFont="1" applyAlignment="1">
      <alignment vertical="top"/>
    </xf>
    <xf numFmtId="1" fontId="112" fillId="0" borderId="0" xfId="4496" applyNumberFormat="1" applyFont="1" applyAlignment="1">
      <alignment vertical="top" wrapText="1"/>
    </xf>
    <xf numFmtId="165" fontId="25"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23" fillId="0" borderId="0" xfId="0" applyFont="1" applyAlignment="1">
      <alignment horizontal="center" vertical="center" wrapText="1"/>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24" fillId="0" borderId="5" xfId="0" applyFont="1" applyBorder="1"/>
    <xf numFmtId="169" fontId="22" fillId="43" borderId="0" xfId="0" applyNumberFormat="1" applyFont="1" applyFill="1"/>
    <xf numFmtId="9" fontId="25" fillId="0" borderId="0" xfId="543" applyNumberFormat="1" applyFont="1" applyAlignment="1">
      <alignment horizontal="center"/>
    </xf>
    <xf numFmtId="172" fontId="17" fillId="0" borderId="0" xfId="543" applyNumberFormat="1"/>
    <xf numFmtId="172" fontId="17" fillId="0" borderId="11" xfId="543" applyNumberFormat="1" applyBorder="1"/>
    <xf numFmtId="1" fontId="17"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17" fillId="0" borderId="12" xfId="543" quotePrefix="1" applyBorder="1"/>
    <xf numFmtId="0" fontId="46"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36" fillId="0" borderId="0" xfId="4495" applyFont="1"/>
    <xf numFmtId="165" fontId="17" fillId="0" borderId="0" xfId="1192" applyNumberFormat="1" applyAlignment="1">
      <alignment horizontal="right"/>
    </xf>
    <xf numFmtId="165" fontId="17" fillId="0" borderId="0" xfId="4495" applyNumberFormat="1" applyFont="1" applyAlignment="1">
      <alignment horizontal="right"/>
    </xf>
    <xf numFmtId="0" fontId="17" fillId="0" borderId="6" xfId="4495" applyFont="1" applyBorder="1" applyAlignment="1">
      <alignment vertical="top" wrapText="1"/>
    </xf>
    <xf numFmtId="0" fontId="13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4" xfId="707" applyFont="1" applyFill="1" applyBorder="1" applyAlignment="1" applyProtection="1">
      <alignment horizontal="left" vertical="top" wrapText="1"/>
    </xf>
    <xf numFmtId="165"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6" xfId="4495" applyFont="1" applyBorder="1" applyAlignment="1">
      <alignment horizontal="left" vertical="top" wrapText="1"/>
    </xf>
    <xf numFmtId="2" fontId="10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9" fontId="17" fillId="0" borderId="0" xfId="0" applyNumberFormat="1" applyFont="1"/>
    <xf numFmtId="173" fontId="17" fillId="0" borderId="11" xfId="0" applyNumberFormat="1" applyFont="1" applyBorder="1" applyAlignment="1">
      <alignment horizontal="center"/>
    </xf>
    <xf numFmtId="169"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9"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2" fillId="0" borderId="0" xfId="4496" applyFont="1"/>
    <xf numFmtId="169" fontId="46" fillId="5" borderId="11" xfId="0" applyNumberFormat="1" applyFont="1" applyFill="1" applyBorder="1" applyAlignment="1" applyProtection="1">
      <alignment vertical="top" wrapText="1"/>
      <protection locked="0"/>
    </xf>
    <xf numFmtId="43" fontId="44"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1" fillId="0" borderId="0" xfId="0" applyFont="1" applyAlignment="1">
      <alignment horizontal="left"/>
    </xf>
    <xf numFmtId="0" fontId="17" fillId="0" borderId="0" xfId="0" quotePrefix="1" applyFont="1" applyAlignment="1">
      <alignment horizontal="left"/>
    </xf>
    <xf numFmtId="0" fontId="41" fillId="0" borderId="0" xfId="1192" applyFont="1" applyAlignment="1">
      <alignment horizontal="left"/>
    </xf>
    <xf numFmtId="0" fontId="44"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12" fillId="0" borderId="0" xfId="4496" applyNumberFormat="1" applyFont="1" applyAlignment="1">
      <alignment horizontal="center" vertical="top" wrapText="1"/>
    </xf>
    <xf numFmtId="10" fontId="112" fillId="0" borderId="64" xfId="4496" applyNumberFormat="1" applyFont="1" applyBorder="1" applyAlignment="1">
      <alignment horizontal="center" vertical="top" wrapText="1"/>
    </xf>
    <xf numFmtId="10" fontId="112" fillId="0" borderId="53" xfId="4496" applyNumberFormat="1" applyFont="1" applyBorder="1" applyAlignment="1">
      <alignment horizontal="left" vertical="top"/>
    </xf>
    <xf numFmtId="0" fontId="112" fillId="0" borderId="0" xfId="4495" applyFont="1"/>
    <xf numFmtId="10" fontId="112" fillId="0" borderId="0" xfId="4495" applyNumberFormat="1" applyFont="1"/>
    <xf numFmtId="173" fontId="17" fillId="0" borderId="0" xfId="4495" applyNumberFormat="1" applyFont="1"/>
    <xf numFmtId="0" fontId="0" fillId="0" borderId="10" xfId="0" applyBorder="1" applyAlignment="1">
      <alignment horizontal="left"/>
    </xf>
    <xf numFmtId="1" fontId="17" fillId="0" borderId="0" xfId="1192" applyNumberFormat="1" applyAlignment="1">
      <alignment horizontal="center"/>
    </xf>
    <xf numFmtId="0" fontId="110" fillId="0" borderId="63" xfId="4495" applyBorder="1"/>
    <xf numFmtId="0" fontId="46"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0" fontId="17" fillId="0" borderId="16" xfId="569" applyBorder="1" applyAlignment="1">
      <alignment horizontal="center"/>
    </xf>
    <xf numFmtId="165" fontId="17" fillId="0" borderId="57" xfId="4495" applyNumberFormat="1" applyFont="1" applyBorder="1" applyAlignment="1">
      <alignment vertical="top" wrapText="1"/>
    </xf>
    <xf numFmtId="165" fontId="17" fillId="0" borderId="58" xfId="4495" applyNumberFormat="1" applyFont="1" applyBorder="1" applyAlignment="1">
      <alignment vertical="top" wrapText="1"/>
    </xf>
    <xf numFmtId="165" fontId="17" fillId="0" borderId="59" xfId="4495" applyNumberFormat="1" applyFont="1" applyBorder="1" applyAlignment="1">
      <alignmen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3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49" fontId="24" fillId="0" borderId="0" xfId="0" applyNumberFormat="1" applyFont="1"/>
    <xf numFmtId="49" fontId="24" fillId="0" borderId="0" xfId="0" applyNumberFormat="1" applyFont="1" applyAlignment="1">
      <alignment vertical="top"/>
    </xf>
    <xf numFmtId="176" fontId="17" fillId="0" borderId="0" xfId="543" applyNumberFormat="1" applyAlignment="1">
      <alignment vertical="center"/>
    </xf>
    <xf numFmtId="0" fontId="88" fillId="43" borderId="6" xfId="4496" applyFont="1" applyFill="1" applyBorder="1" applyAlignment="1" applyProtection="1">
      <alignment horizontal="center"/>
      <protection locked="0"/>
    </xf>
    <xf numFmtId="0" fontId="88" fillId="0" borderId="0" xfId="4496" applyFont="1"/>
    <xf numFmtId="0" fontId="88" fillId="0" borderId="0" xfId="4496" applyFont="1" applyAlignment="1">
      <alignment wrapText="1"/>
    </xf>
    <xf numFmtId="0" fontId="127" fillId="0" borderId="0" xfId="4496" applyFont="1"/>
    <xf numFmtId="182" fontId="128" fillId="0" borderId="0" xfId="4498" applyNumberFormat="1" applyFont="1" applyBorder="1" applyProtection="1"/>
    <xf numFmtId="0" fontId="129" fillId="0" borderId="0" xfId="4496" applyFont="1" applyAlignment="1">
      <alignment vertical="center" wrapText="1"/>
    </xf>
    <xf numFmtId="49" fontId="88" fillId="0" borderId="0" xfId="4496" applyNumberFormat="1" applyFont="1" applyAlignment="1">
      <alignment horizontal="center"/>
    </xf>
    <xf numFmtId="183" fontId="88" fillId="0" borderId="6" xfId="4496" applyNumberFormat="1" applyFont="1" applyBorder="1"/>
    <xf numFmtId="0" fontId="88" fillId="0" borderId="0" xfId="4496" applyFont="1" applyAlignment="1">
      <alignment vertical="center"/>
    </xf>
    <xf numFmtId="183" fontId="88" fillId="0" borderId="0" xfId="4496" applyNumberFormat="1" applyFont="1" applyAlignment="1">
      <alignment vertical="center"/>
    </xf>
    <xf numFmtId="176" fontId="88" fillId="0" borderId="0" xfId="4499" applyNumberFormat="1" applyFont="1" applyFill="1" applyBorder="1" applyAlignment="1" applyProtection="1">
      <alignment horizontal="left" vertical="center"/>
    </xf>
    <xf numFmtId="9" fontId="88" fillId="0" borderId="0" xfId="4499" applyFont="1" applyFill="1" applyBorder="1" applyAlignment="1" applyProtection="1">
      <alignment vertical="center"/>
    </xf>
    <xf numFmtId="184" fontId="88" fillId="0" borderId="0" xfId="4496" applyNumberFormat="1" applyFont="1" applyAlignment="1">
      <alignment vertical="center" wrapText="1"/>
    </xf>
    <xf numFmtId="9" fontId="88" fillId="0" borderId="0" xfId="4499" applyFont="1" applyBorder="1" applyAlignment="1" applyProtection="1">
      <alignment vertical="center"/>
    </xf>
    <xf numFmtId="165" fontId="88" fillId="0" borderId="0" xfId="4496" applyNumberFormat="1" applyFont="1" applyAlignment="1">
      <alignment vertical="center" wrapText="1"/>
    </xf>
    <xf numFmtId="0" fontId="88" fillId="0" borderId="0" xfId="4496" applyFont="1" applyAlignment="1">
      <alignment horizontal="center" vertical="center"/>
    </xf>
    <xf numFmtId="183" fontId="88" fillId="0" borderId="11" xfId="8721" applyNumberFormat="1" applyFont="1" applyBorder="1" applyProtection="1"/>
    <xf numFmtId="183" fontId="88" fillId="0" borderId="11" xfId="4496" applyNumberFormat="1" applyFont="1" applyBorder="1"/>
    <xf numFmtId="165" fontId="88" fillId="0" borderId="0" xfId="4496" applyNumberFormat="1" applyFont="1" applyAlignment="1">
      <alignment wrapText="1"/>
    </xf>
    <xf numFmtId="49" fontId="88" fillId="0" borderId="0" xfId="4496" applyNumberFormat="1" applyFont="1" applyAlignment="1">
      <alignment horizontal="left"/>
    </xf>
    <xf numFmtId="0" fontId="130" fillId="0" borderId="0" xfId="4496" applyFont="1"/>
    <xf numFmtId="9" fontId="88" fillId="0" borderId="11" xfId="4494" applyFont="1" applyFill="1" applyBorder="1" applyAlignment="1" applyProtection="1">
      <alignment horizontal="right"/>
    </xf>
    <xf numFmtId="1" fontId="88" fillId="0" borderId="0" xfId="4496" applyNumberFormat="1" applyFont="1"/>
    <xf numFmtId="0" fontId="127" fillId="45" borderId="3" xfId="4496" applyFont="1" applyFill="1" applyBorder="1" applyAlignment="1">
      <alignment horizontal="left" indent="1"/>
    </xf>
    <xf numFmtId="0" fontId="88" fillId="45" borderId="4" xfId="4496" applyFont="1" applyFill="1" applyBorder="1"/>
    <xf numFmtId="2" fontId="88" fillId="45" borderId="5" xfId="4496" applyNumberFormat="1" applyFont="1" applyFill="1" applyBorder="1"/>
    <xf numFmtId="182" fontId="88" fillId="0" borderId="0" xfId="4496" applyNumberFormat="1" applyFont="1"/>
    <xf numFmtId="166" fontId="128" fillId="0" borderId="0" xfId="4499" applyNumberFormat="1" applyFont="1" applyFill="1" applyBorder="1" applyProtection="1"/>
    <xf numFmtId="9" fontId="88" fillId="0" borderId="0" xfId="4494" applyFont="1" applyFill="1" applyProtection="1"/>
    <xf numFmtId="0" fontId="88" fillId="0" borderId="11" xfId="4496" applyFont="1" applyBorder="1" applyAlignment="1">
      <alignment horizontal="center"/>
    </xf>
    <xf numFmtId="2" fontId="88" fillId="0" borderId="11" xfId="4496" applyNumberFormat="1" applyFont="1" applyBorder="1" applyAlignment="1">
      <alignment horizontal="center"/>
    </xf>
    <xf numFmtId="0" fontId="88" fillId="0" borderId="0" xfId="4496" applyFont="1" applyAlignment="1">
      <alignment vertical="top" wrapText="1"/>
    </xf>
    <xf numFmtId="0" fontId="88" fillId="0" borderId="11" xfId="4496" applyFont="1" applyBorder="1" applyAlignment="1">
      <alignment horizontal="center" vertical="top" wrapText="1"/>
    </xf>
    <xf numFmtId="183" fontId="88" fillId="0" borderId="0" xfId="8721" applyNumberFormat="1" applyFont="1" applyBorder="1" applyProtection="1"/>
    <xf numFmtId="0" fontId="88" fillId="0" borderId="0" xfId="4496" applyFont="1" applyAlignment="1">
      <alignment horizontal="left" indent="1"/>
    </xf>
    <xf numFmtId="183" fontId="88" fillId="0" borderId="0" xfId="4496" applyNumberFormat="1" applyFont="1"/>
    <xf numFmtId="185" fontId="88" fillId="0" borderId="0" xfId="4496" applyNumberFormat="1" applyFont="1"/>
    <xf numFmtId="0" fontId="88" fillId="0" borderId="0" xfId="4496" applyFont="1" applyAlignment="1">
      <alignment horizontal="left"/>
    </xf>
    <xf numFmtId="0" fontId="88" fillId="0" borderId="0" xfId="4496" applyFont="1" applyAlignment="1">
      <alignment horizontal="center"/>
    </xf>
    <xf numFmtId="9" fontId="88" fillId="0" borderId="0" xfId="4494" applyFont="1" applyFill="1" applyBorder="1" applyProtection="1"/>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88" fillId="0" borderId="0" xfId="4496" applyFont="1" applyAlignment="1">
      <alignment horizontal="right"/>
    </xf>
    <xf numFmtId="0" fontId="88" fillId="0" borderId="15" xfId="4496" applyFont="1" applyBorder="1" applyAlignment="1">
      <alignment horizontal="center" vertical="top" wrapText="1"/>
    </xf>
    <xf numFmtId="2" fontId="88" fillId="0" borderId="15" xfId="4496" applyNumberFormat="1" applyFont="1" applyBorder="1" applyAlignment="1">
      <alignment horizontal="center"/>
    </xf>
    <xf numFmtId="0" fontId="88"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6" fontId="88" fillId="0" borderId="0" xfId="4499" applyNumberFormat="1" applyFont="1" applyFill="1" applyBorder="1" applyAlignment="1" applyProtection="1">
      <alignment horizontal="right" vertical="center"/>
    </xf>
    <xf numFmtId="5" fontId="88" fillId="0" borderId="6" xfId="4496" applyNumberFormat="1" applyFont="1" applyBorder="1" applyAlignment="1">
      <alignment vertical="center"/>
    </xf>
    <xf numFmtId="0" fontId="88" fillId="0" borderId="66" xfId="4496" applyFont="1" applyBorder="1" applyAlignment="1">
      <alignment vertical="center"/>
    </xf>
    <xf numFmtId="0" fontId="88" fillId="0" borderId="41" xfId="4496" applyFont="1" applyBorder="1" applyAlignment="1">
      <alignment vertical="center"/>
    </xf>
    <xf numFmtId="183" fontId="88" fillId="0" borderId="73" xfId="4496" applyNumberFormat="1" applyFont="1" applyBorder="1" applyAlignment="1">
      <alignment vertical="center"/>
    </xf>
    <xf numFmtId="176" fontId="88" fillId="0" borderId="42" xfId="4499" applyNumberFormat="1" applyFont="1" applyFill="1" applyBorder="1" applyAlignment="1" applyProtection="1">
      <alignment horizontal="left" vertical="center"/>
    </xf>
    <xf numFmtId="0" fontId="88" fillId="0" borderId="42" xfId="4496" applyFont="1" applyBorder="1" applyAlignment="1">
      <alignment vertical="center"/>
    </xf>
    <xf numFmtId="0" fontId="88" fillId="0" borderId="44" xfId="4496" applyFont="1" applyBorder="1" applyAlignment="1">
      <alignment vertical="center"/>
    </xf>
    <xf numFmtId="49" fontId="88" fillId="0" borderId="0" xfId="4496" applyNumberFormat="1" applyFont="1" applyAlignment="1">
      <alignment horizontal="center" vertical="center"/>
    </xf>
    <xf numFmtId="0" fontId="88" fillId="0" borderId="65" xfId="4496" applyFont="1" applyBorder="1" applyAlignment="1">
      <alignment vertical="center"/>
    </xf>
    <xf numFmtId="0" fontId="88" fillId="0" borderId="29" xfId="4496" applyFont="1" applyBorder="1" applyAlignment="1">
      <alignment vertical="center"/>
    </xf>
    <xf numFmtId="0" fontId="88" fillId="0" borderId="29" xfId="4496" applyFont="1" applyBorder="1" applyAlignment="1">
      <alignment horizontal="right" vertical="center"/>
    </xf>
    <xf numFmtId="5" fontId="88" fillId="0" borderId="29" xfId="4496" applyNumberFormat="1" applyFont="1" applyBorder="1" applyAlignment="1">
      <alignment vertical="center"/>
    </xf>
    <xf numFmtId="0" fontId="88" fillId="0" borderId="31" xfId="4496" applyFont="1" applyBorder="1" applyAlignment="1">
      <alignment vertical="center"/>
    </xf>
    <xf numFmtId="176"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3" fontId="127" fillId="0" borderId="68" xfId="8721" applyNumberFormat="1" applyFont="1" applyBorder="1" applyProtection="1"/>
    <xf numFmtId="183" fontId="127" fillId="0" borderId="68" xfId="4496" applyNumberFormat="1" applyFont="1" applyBorder="1"/>
    <xf numFmtId="0" fontId="141" fillId="0" borderId="0" xfId="4496" applyFont="1" applyAlignment="1">
      <alignment horizontal="right"/>
    </xf>
    <xf numFmtId="0" fontId="88" fillId="0" borderId="0" xfId="4496" applyFont="1" applyAlignment="1">
      <alignment horizontal="right" vertical="top" wrapText="1" indent="1"/>
    </xf>
    <xf numFmtId="183" fontId="88" fillId="0" borderId="6" xfId="8721" applyNumberFormat="1" applyFont="1" applyBorder="1" applyAlignment="1" applyProtection="1">
      <alignment horizontal="center"/>
    </xf>
    <xf numFmtId="0" fontId="88" fillId="0" borderId="0" xfId="4496" applyFont="1" applyAlignment="1">
      <alignment horizontal="right" indent="1"/>
    </xf>
    <xf numFmtId="0" fontId="88" fillId="0" borderId="0" xfId="4496" applyFont="1" applyAlignment="1">
      <alignment horizontal="right" vertical="top"/>
    </xf>
    <xf numFmtId="0" fontId="127" fillId="0" borderId="0" xfId="4496" applyFont="1" applyAlignment="1">
      <alignment horizontal="right"/>
    </xf>
    <xf numFmtId="183" fontId="127" fillId="0" borderId="0" xfId="8721" applyNumberFormat="1" applyFont="1" applyBorder="1" applyAlignment="1" applyProtection="1">
      <alignment horizontal="center"/>
    </xf>
    <xf numFmtId="10" fontId="88" fillId="0" borderId="0" xfId="4494" applyNumberFormat="1" applyFont="1" applyBorder="1" applyAlignment="1" applyProtection="1">
      <alignment horizontal="center"/>
    </xf>
    <xf numFmtId="185" fontId="88" fillId="0" borderId="6" xfId="4496" applyNumberFormat="1" applyFont="1" applyBorder="1"/>
    <xf numFmtId="0" fontId="127" fillId="0" borderId="0" xfId="4496" applyFont="1" applyAlignment="1">
      <alignment horizontal="right" vertical="top"/>
    </xf>
    <xf numFmtId="183" fontId="127" fillId="0" borderId="0" xfId="4496" applyNumberFormat="1" applyFont="1"/>
    <xf numFmtId="183" fontId="88" fillId="0" borderId="6" xfId="8721" applyNumberFormat="1" applyFont="1" applyBorder="1" applyProtection="1"/>
    <xf numFmtId="185" fontId="88" fillId="0" borderId="0" xfId="4496" applyNumberFormat="1" applyFont="1" applyAlignment="1">
      <alignment horizontal="center"/>
    </xf>
    <xf numFmtId="0" fontId="88" fillId="0" borderId="6" xfId="4496" applyFont="1" applyBorder="1" applyAlignment="1">
      <alignment horizontal="right" vertical="top" wrapText="1" indent="1"/>
    </xf>
    <xf numFmtId="0" fontId="88" fillId="0" borderId="67" xfId="4496" applyFont="1" applyBorder="1" applyAlignment="1">
      <alignment horizontal="right" indent="1"/>
    </xf>
    <xf numFmtId="0" fontId="88" fillId="0" borderId="72" xfId="4496" applyFont="1" applyBorder="1" applyAlignment="1">
      <alignment horizontal="right" indent="1"/>
    </xf>
    <xf numFmtId="0" fontId="88" fillId="0" borderId="72" xfId="4496" quotePrefix="1" applyFont="1" applyBorder="1" applyAlignment="1">
      <alignment horizontal="right" indent="1"/>
    </xf>
    <xf numFmtId="0" fontId="88" fillId="0" borderId="69" xfId="4496" applyFont="1" applyBorder="1" applyAlignment="1">
      <alignment horizontal="right" indent="1"/>
    </xf>
    <xf numFmtId="183" fontId="88" fillId="0" borderId="71" xfId="4496" applyNumberFormat="1" applyFont="1" applyBorder="1"/>
    <xf numFmtId="183" fontId="88" fillId="0" borderId="76" xfId="4496" applyNumberFormat="1" applyFont="1" applyBorder="1"/>
    <xf numFmtId="183" fontId="88" fillId="0" borderId="77" xfId="4496" applyNumberFormat="1" applyFont="1" applyBorder="1"/>
    <xf numFmtId="176" fontId="24" fillId="0" borderId="0" xfId="543" applyNumberFormat="1" applyFont="1" applyAlignment="1">
      <alignment vertical="center"/>
    </xf>
    <xf numFmtId="10" fontId="127" fillId="0" borderId="0" xfId="4494" applyNumberFormat="1" applyFont="1" applyProtection="1"/>
    <xf numFmtId="0" fontId="24" fillId="0" borderId="0" xfId="1192" applyFont="1" applyAlignment="1">
      <alignment horizontal="left" indent="1"/>
    </xf>
    <xf numFmtId="169" fontId="127" fillId="0" borderId="68" xfId="4499" applyNumberFormat="1" applyFont="1" applyFill="1" applyBorder="1" applyAlignment="1" applyProtection="1">
      <alignment horizontal="left" vertical="center" indent="1"/>
    </xf>
    <xf numFmtId="183" fontId="88" fillId="0" borderId="13" xfId="4496" applyNumberFormat="1" applyFont="1" applyBorder="1"/>
    <xf numFmtId="183" fontId="88" fillId="0" borderId="70" xfId="4496" applyNumberFormat="1" applyFont="1" applyBorder="1"/>
    <xf numFmtId="0" fontId="35" fillId="0" borderId="0" xfId="4495" applyFont="1" applyAlignment="1">
      <alignment vertical="center"/>
    </xf>
    <xf numFmtId="0" fontId="112" fillId="0" borderId="0" xfId="4496" applyFont="1" applyAlignment="1">
      <alignment vertical="center" wrapText="1"/>
    </xf>
    <xf numFmtId="0" fontId="22" fillId="43" borderId="0" xfId="1192" applyFont="1" applyFill="1"/>
    <xf numFmtId="3" fontId="59" fillId="43" borderId="6" xfId="1192" applyNumberFormat="1" applyFont="1" applyFill="1" applyBorder="1"/>
    <xf numFmtId="0" fontId="143" fillId="0" borderId="0" xfId="0" applyFont="1"/>
    <xf numFmtId="0" fontId="22"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6" fillId="5" borderId="11" xfId="0" applyFont="1" applyFill="1" applyBorder="1" applyAlignment="1" applyProtection="1">
      <alignment horizontal="right" vertical="top" wrapText="1"/>
      <protection locked="0"/>
    </xf>
    <xf numFmtId="0" fontId="17" fillId="43" borderId="3" xfId="569" applyFill="1" applyBorder="1"/>
    <xf numFmtId="0" fontId="14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88" fillId="0" borderId="6" xfId="4496" applyFont="1" applyBorder="1" applyAlignment="1">
      <alignment horizontal="left" vertical="top"/>
    </xf>
    <xf numFmtId="3" fontId="22" fillId="43" borderId="11" xfId="271" applyNumberFormat="1" applyFont="1" applyFill="1" applyBorder="1" applyAlignment="1" applyProtection="1">
      <alignment horizontal="left"/>
      <protection locked="0"/>
    </xf>
    <xf numFmtId="0" fontId="88" fillId="43" borderId="6" xfId="4496" applyFont="1" applyFill="1" applyBorder="1" applyProtection="1">
      <protection locked="0"/>
    </xf>
    <xf numFmtId="1" fontId="88" fillId="0" borderId="0" xfId="4496" applyNumberFormat="1" applyFont="1" applyProtection="1">
      <protection locked="0"/>
    </xf>
    <xf numFmtId="183" fontId="153" fillId="0" borderId="11" xfId="4496" applyNumberFormat="1" applyFont="1" applyBorder="1"/>
    <xf numFmtId="44" fontId="88" fillId="0" borderId="0" xfId="4496" applyNumberFormat="1" applyFont="1"/>
    <xf numFmtId="183" fontId="22" fillId="0" borderId="11" xfId="4496" applyNumberFormat="1" applyFont="1" applyBorder="1"/>
    <xf numFmtId="9" fontId="88" fillId="0" borderId="0" xfId="4494" applyFont="1"/>
    <xf numFmtId="183" fontId="88" fillId="43" borderId="6" xfId="8721" applyNumberFormat="1" applyFont="1" applyFill="1" applyBorder="1" applyProtection="1">
      <protection locked="0"/>
    </xf>
    <xf numFmtId="169" fontId="165" fillId="48" borderId="79" xfId="700" applyNumberFormat="1" applyFont="1" applyFill="1" applyBorder="1" applyAlignment="1" applyProtection="1">
      <protection locked="0"/>
    </xf>
    <xf numFmtId="3" fontId="39"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9"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9"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4" fillId="0" borderId="0" xfId="4495" applyFont="1" applyAlignment="1">
      <alignment wrapText="1"/>
    </xf>
    <xf numFmtId="183" fontId="17" fillId="0" borderId="0" xfId="700" applyNumberFormat="1" applyFont="1"/>
    <xf numFmtId="9" fontId="17" fillId="0" borderId="0" xfId="1022" applyFont="1"/>
    <xf numFmtId="169" fontId="17" fillId="0" borderId="110" xfId="0" applyNumberFormat="1" applyFont="1" applyBorder="1"/>
    <xf numFmtId="9" fontId="0" fillId="0" borderId="0" xfId="0" applyNumberFormat="1"/>
    <xf numFmtId="183" fontId="0" fillId="0" borderId="0" xfId="700" applyNumberFormat="1" applyFont="1" applyAlignment="1" applyProtection="1">
      <alignment horizontal="right"/>
    </xf>
    <xf numFmtId="183" fontId="0" fillId="0" borderId="11" xfId="700" applyNumberFormat="1" applyFont="1" applyBorder="1" applyAlignment="1" applyProtection="1">
      <alignment horizontal="right"/>
    </xf>
    <xf numFmtId="0" fontId="2" fillId="0" borderId="0" xfId="8733"/>
    <xf numFmtId="0" fontId="93" fillId="0" borderId="0" xfId="8733" applyFont="1"/>
    <xf numFmtId="0" fontId="2" fillId="47" borderId="66" xfId="8733" applyFill="1" applyBorder="1"/>
    <xf numFmtId="0" fontId="2" fillId="47" borderId="0" xfId="8733" applyFill="1"/>
    <xf numFmtId="0" fontId="92" fillId="47" borderId="0" xfId="8733" applyFont="1" applyFill="1"/>
    <xf numFmtId="183" fontId="164" fillId="47" borderId="0" xfId="8734" applyNumberFormat="1" applyFont="1" applyFill="1" applyBorder="1" applyAlignment="1"/>
    <xf numFmtId="0" fontId="2" fillId="47" borderId="41" xfId="8733" applyFill="1" applyBorder="1"/>
    <xf numFmtId="0" fontId="93" fillId="47" borderId="0" xfId="8733" applyFont="1" applyFill="1"/>
    <xf numFmtId="0" fontId="168" fillId="47" borderId="0" xfId="8733" applyFont="1" applyFill="1"/>
    <xf numFmtId="0" fontId="92" fillId="47" borderId="41" xfId="8733" applyFont="1" applyFill="1" applyBorder="1"/>
    <xf numFmtId="0" fontId="92" fillId="0" borderId="0" xfId="8733" applyFont="1"/>
    <xf numFmtId="0" fontId="92" fillId="54" borderId="100" xfId="8733" applyFont="1" applyFill="1" applyBorder="1"/>
    <xf numFmtId="0" fontId="2" fillId="53" borderId="99" xfId="8733" applyFill="1" applyBorder="1"/>
    <xf numFmtId="0" fontId="2" fillId="52" borderId="99" xfId="8733" applyFill="1" applyBorder="1"/>
    <xf numFmtId="0" fontId="9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92" fillId="45" borderId="0" xfId="8733" applyFont="1" applyFill="1"/>
    <xf numFmtId="0" fontId="92" fillId="45" borderId="12" xfId="8733" applyFont="1" applyFill="1" applyBorder="1"/>
    <xf numFmtId="0" fontId="92" fillId="45" borderId="29" xfId="8733" applyFont="1" applyFill="1" applyBorder="1"/>
    <xf numFmtId="0" fontId="92" fillId="45" borderId="80" xfId="8733" applyFont="1" applyFill="1" applyBorder="1"/>
    <xf numFmtId="0" fontId="92" fillId="45" borderId="79" xfId="8733" applyFont="1" applyFill="1" applyBorder="1"/>
    <xf numFmtId="0" fontId="92" fillId="45" borderId="78" xfId="8733" applyFont="1" applyFill="1" applyBorder="1"/>
    <xf numFmtId="0" fontId="92" fillId="45" borderId="93" xfId="8733" applyFont="1" applyFill="1" applyBorder="1"/>
    <xf numFmtId="0" fontId="92" fillId="45" borderId="6" xfId="8733" applyFont="1" applyFill="1" applyBorder="1"/>
    <xf numFmtId="0" fontId="92" fillId="45" borderId="10" xfId="8733" applyFont="1" applyFill="1" applyBorder="1"/>
    <xf numFmtId="0" fontId="2" fillId="45" borderId="29" xfId="8733" applyFill="1" applyBorder="1"/>
    <xf numFmtId="0" fontId="2" fillId="45" borderId="31" xfId="8733" applyFill="1" applyBorder="1"/>
    <xf numFmtId="0" fontId="92" fillId="45" borderId="92" xfId="8733" applyFont="1" applyFill="1" applyBorder="1"/>
    <xf numFmtId="0" fontId="92" fillId="45" borderId="74" xfId="8733" applyFont="1" applyFill="1" applyBorder="1"/>
    <xf numFmtId="0" fontId="16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70" fillId="47" borderId="0" xfId="8733" applyFont="1" applyFill="1"/>
    <xf numFmtId="0" fontId="92" fillId="45" borderId="31" xfId="8733" applyFont="1" applyFill="1" applyBorder="1"/>
    <xf numFmtId="0" fontId="2" fillId="47" borderId="0" xfId="8733" applyFill="1" applyAlignment="1">
      <alignment horizontal="left"/>
    </xf>
    <xf numFmtId="0" fontId="162" fillId="51" borderId="11" xfId="8733" applyFont="1" applyFill="1" applyBorder="1"/>
    <xf numFmtId="0" fontId="162" fillId="51" borderId="76" xfId="8733" applyFont="1" applyFill="1" applyBorder="1"/>
    <xf numFmtId="0" fontId="2" fillId="48" borderId="66" xfId="8733" applyFill="1" applyBorder="1"/>
    <xf numFmtId="0" fontId="2" fillId="48" borderId="0" xfId="8733" applyFill="1"/>
    <xf numFmtId="0" fontId="2" fillId="48" borderId="78" xfId="8733" applyFill="1" applyBorder="1"/>
    <xf numFmtId="0" fontId="92" fillId="47" borderId="66" xfId="8733" applyFont="1" applyFill="1" applyBorder="1"/>
    <xf numFmtId="49" fontId="9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54" fillId="0" borderId="0" xfId="8733" applyFont="1"/>
    <xf numFmtId="169" fontId="0" fillId="0" borderId="0" xfId="0" applyNumberFormat="1"/>
    <xf numFmtId="0" fontId="112" fillId="52" borderId="113" xfId="0" applyFont="1" applyFill="1" applyBorder="1"/>
    <xf numFmtId="0" fontId="11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6" fontId="0" fillId="0" borderId="0" xfId="1022" applyNumberFormat="1" applyFont="1"/>
    <xf numFmtId="0" fontId="39" fillId="0" borderId="0" xfId="0" applyFont="1"/>
    <xf numFmtId="0" fontId="17" fillId="8" borderId="0" xfId="542" quotePrefix="1" applyFont="1" applyFill="1" applyAlignment="1">
      <alignment horizontal="left"/>
    </xf>
    <xf numFmtId="0" fontId="24" fillId="8" borderId="0" xfId="539" applyFont="1" applyFill="1" applyAlignment="1" applyProtection="1">
      <alignment horizontal="centerContinuous"/>
    </xf>
    <xf numFmtId="0" fontId="17" fillId="8" borderId="0" xfId="542" applyFont="1" applyFill="1"/>
    <xf numFmtId="169" fontId="24" fillId="0" borderId="6" xfId="543" applyNumberFormat="1" applyFont="1" applyBorder="1" applyAlignment="1">
      <alignment horizontal="left"/>
    </xf>
    <xf numFmtId="169" fontId="24" fillId="0" borderId="6" xfId="543" applyNumberFormat="1" applyFont="1" applyBorder="1" applyAlignment="1">
      <alignment horizontal="center"/>
    </xf>
    <xf numFmtId="0" fontId="41" fillId="0" borderId="0" xfId="244" applyFont="1" applyFill="1" applyBorder="1" applyAlignment="1" applyProtection="1">
      <alignment horizontal="left"/>
    </xf>
    <xf numFmtId="0" fontId="17" fillId="0" borderId="0" xfId="0" applyFont="1" applyAlignment="1">
      <alignment horizontal="left" indent="4"/>
    </xf>
    <xf numFmtId="0" fontId="17" fillId="9" borderId="6" xfId="0" applyFont="1" applyFill="1" applyBorder="1"/>
    <xf numFmtId="167" fontId="17" fillId="0" borderId="0" xfId="0" applyNumberFormat="1" applyFont="1" applyAlignment="1">
      <alignment horizontal="left"/>
    </xf>
    <xf numFmtId="167" fontId="17" fillId="0" borderId="0" xfId="0" applyNumberFormat="1" applyFont="1"/>
    <xf numFmtId="169" fontId="17" fillId="0" borderId="0" xfId="0" applyNumberFormat="1" applyFont="1" applyAlignment="1">
      <alignment horizontal="right"/>
    </xf>
    <xf numFmtId="169" fontId="17" fillId="0" borderId="3" xfId="0" applyNumberFormat="1" applyFont="1" applyBorder="1" applyAlignment="1">
      <alignment vertical="top"/>
    </xf>
    <xf numFmtId="169" fontId="17" fillId="0" borderId="4" xfId="0" applyNumberFormat="1" applyFont="1" applyBorder="1" applyAlignment="1">
      <alignment vertical="top"/>
    </xf>
    <xf numFmtId="169" fontId="17" fillId="0" borderId="5" xfId="0" applyNumberFormat="1" applyFont="1" applyBorder="1" applyAlignment="1">
      <alignment vertical="top"/>
    </xf>
    <xf numFmtId="169" fontId="17" fillId="0" borderId="8" xfId="0" applyNumberFormat="1" applyFont="1" applyBorder="1" applyAlignment="1">
      <alignment vertical="top"/>
    </xf>
    <xf numFmtId="169" fontId="17" fillId="0" borderId="0" xfId="0" applyNumberFormat="1" applyFont="1" applyAlignment="1">
      <alignment vertical="top"/>
    </xf>
    <xf numFmtId="0" fontId="17" fillId="0" borderId="0" xfId="0" applyFont="1" applyAlignment="1">
      <alignment horizontal="right" vertical="top"/>
    </xf>
    <xf numFmtId="0" fontId="17" fillId="0" borderId="12" xfId="0" applyFont="1" applyBorder="1" applyAlignment="1">
      <alignment horizontal="right" vertical="top"/>
    </xf>
    <xf numFmtId="0" fontId="17" fillId="5" borderId="4" xfId="0" applyFont="1" applyFill="1" applyBorder="1" applyAlignment="1" applyProtection="1">
      <alignment horizontal="left" vertical="top"/>
      <protection locked="0"/>
    </xf>
    <xf numFmtId="0" fontId="17" fillId="5" borderId="5" xfId="0" applyFont="1" applyFill="1" applyBorder="1" applyAlignment="1" applyProtection="1">
      <alignment horizontal="left" vertical="top"/>
      <protection locked="0"/>
    </xf>
    <xf numFmtId="5" fontId="17" fillId="0" borderId="0" xfId="542" applyNumberFormat="1" applyFont="1"/>
    <xf numFmtId="9" fontId="17" fillId="0" borderId="0" xfId="0" applyNumberFormat="1" applyFont="1"/>
    <xf numFmtId="0" fontId="17" fillId="0" borderId="11" xfId="0" applyFont="1" applyBorder="1" applyAlignment="1">
      <alignment horizontal="left"/>
    </xf>
    <xf numFmtId="0" fontId="17" fillId="0" borderId="7" xfId="0" applyFont="1" applyBorder="1"/>
    <xf numFmtId="0" fontId="17" fillId="0" borderId="12" xfId="0" applyFont="1" applyBorder="1"/>
    <xf numFmtId="0" fontId="17" fillId="0" borderId="10" xfId="0" applyFont="1" applyBorder="1"/>
    <xf numFmtId="0" fontId="27" fillId="0" borderId="0" xfId="543" applyFont="1"/>
    <xf numFmtId="0" fontId="17" fillId="0" borderId="1" xfId="0" applyFont="1" applyBorder="1"/>
    <xf numFmtId="0" fontId="35" fillId="0" borderId="7" xfId="543" applyFont="1" applyBorder="1"/>
    <xf numFmtId="0" fontId="24" fillId="0" borderId="12" xfId="543" applyFont="1" applyBorder="1" applyAlignment="1">
      <alignment horizontal="center" vertical="top"/>
    </xf>
    <xf numFmtId="0" fontId="25" fillId="0" borderId="8" xfId="543" applyFont="1" applyBorder="1" applyAlignment="1">
      <alignment horizontal="left" vertical="top" wrapText="1"/>
    </xf>
    <xf numFmtId="0" fontId="25" fillId="0" borderId="12" xfId="543" applyFont="1" applyBorder="1" applyAlignment="1">
      <alignment horizontal="center" vertical="top" wrapText="1"/>
    </xf>
    <xf numFmtId="0" fontId="25" fillId="0" borderId="1" xfId="543" applyFont="1" applyBorder="1" applyAlignment="1">
      <alignment horizontal="left" vertical="top" wrapText="1"/>
    </xf>
    <xf numFmtId="0" fontId="25" fillId="0" borderId="2" xfId="543" applyFont="1" applyBorder="1" applyAlignment="1">
      <alignment horizontal="center" vertical="top" wrapText="1"/>
    </xf>
    <xf numFmtId="0" fontId="25" fillId="0" borderId="0" xfId="543" applyFont="1" applyAlignment="1">
      <alignment horizontal="center" vertical="top" wrapText="1"/>
    </xf>
    <xf numFmtId="0" fontId="25" fillId="0" borderId="9" xfId="543" applyFont="1" applyBorder="1" applyAlignment="1">
      <alignment horizontal="left" vertical="top" wrapText="1"/>
    </xf>
    <xf numFmtId="0" fontId="25" fillId="0" borderId="6" xfId="543" applyFont="1" applyBorder="1" applyAlignment="1">
      <alignment horizontal="center" vertical="top" wrapText="1"/>
    </xf>
    <xf numFmtId="0" fontId="24" fillId="0" borderId="0" xfId="543" applyFont="1" applyAlignment="1">
      <alignment horizontal="center"/>
    </xf>
    <xf numFmtId="0" fontId="33" fillId="0" borderId="9" xfId="543" applyFont="1" applyBorder="1" applyAlignment="1">
      <alignment horizontal="left" vertical="top" wrapText="1"/>
    </xf>
    <xf numFmtId="2" fontId="17" fillId="0" borderId="11" xfId="0" applyNumberFormat="1" applyFont="1" applyBorder="1"/>
    <xf numFmtId="0" fontId="17" fillId="0" borderId="15" xfId="0" applyFont="1" applyBorder="1"/>
    <xf numFmtId="0" fontId="33" fillId="0" borderId="8" xfId="543" applyFont="1" applyBorder="1" applyAlignment="1">
      <alignment horizontal="left" vertical="top" wrapText="1"/>
    </xf>
    <xf numFmtId="0" fontId="33" fillId="0" borderId="0" xfId="543" applyFont="1" applyAlignment="1">
      <alignment horizontal="center" vertical="top" wrapText="1"/>
    </xf>
    <xf numFmtId="0" fontId="25" fillId="0" borderId="0" xfId="543" applyFont="1" applyAlignment="1">
      <alignment horizontal="center"/>
    </xf>
    <xf numFmtId="0" fontId="33" fillId="0" borderId="4" xfId="543" applyFont="1" applyBorder="1" applyAlignment="1">
      <alignment horizontal="right" vertical="top" wrapText="1"/>
    </xf>
    <xf numFmtId="0" fontId="33" fillId="0" borderId="0" xfId="543" applyFont="1" applyAlignment="1">
      <alignment horizontal="right" vertical="top" wrapText="1"/>
    </xf>
    <xf numFmtId="0" fontId="24" fillId="0" borderId="0" xfId="543" applyFont="1" applyAlignment="1">
      <alignment horizontal="right" vertical="top" wrapText="1"/>
    </xf>
    <xf numFmtId="0" fontId="24" fillId="0" borderId="2" xfId="543" applyFont="1" applyBorder="1" applyAlignment="1">
      <alignment horizontal="right" vertical="top" wrapText="1"/>
    </xf>
    <xf numFmtId="0" fontId="24" fillId="0" borderId="0" xfId="543" applyFont="1" applyAlignment="1">
      <alignment vertical="center" wrapText="1"/>
    </xf>
    <xf numFmtId="0" fontId="25" fillId="0" borderId="0" xfId="543" applyFont="1"/>
    <xf numFmtId="0" fontId="17" fillId="0" borderId="0" xfId="543" applyAlignment="1">
      <alignment horizontal="left"/>
    </xf>
    <xf numFmtId="0" fontId="46" fillId="4" borderId="11" xfId="0" applyFont="1" applyFill="1" applyBorder="1" applyAlignment="1">
      <alignment vertical="top" wrapText="1"/>
    </xf>
    <xf numFmtId="0" fontId="46" fillId="2" borderId="11" xfId="0" applyFont="1" applyFill="1" applyBorder="1" applyAlignment="1">
      <alignment vertical="top" wrapText="1"/>
    </xf>
    <xf numFmtId="169" fontId="46" fillId="6" borderId="11" xfId="0" applyNumberFormat="1" applyFont="1" applyFill="1" applyBorder="1" applyAlignment="1">
      <alignment horizontal="center" vertical="top" wrapText="1"/>
    </xf>
    <xf numFmtId="0" fontId="46" fillId="0" borderId="11" xfId="0" applyFont="1" applyBorder="1" applyAlignment="1">
      <alignment horizontal="right" vertical="top"/>
    </xf>
    <xf numFmtId="169" fontId="46" fillId="0" borderId="11" xfId="0" applyNumberFormat="1" applyFont="1" applyBorder="1" applyAlignment="1">
      <alignment vertical="top"/>
    </xf>
    <xf numFmtId="169" fontId="46" fillId="5" borderId="11" xfId="0" applyNumberFormat="1" applyFont="1" applyFill="1" applyBorder="1" applyAlignment="1" applyProtection="1">
      <alignment vertical="top"/>
      <protection locked="0"/>
    </xf>
    <xf numFmtId="169" fontId="46" fillId="6" borderId="11" xfId="0" applyNumberFormat="1" applyFont="1" applyFill="1" applyBorder="1" applyAlignment="1">
      <alignment horizontal="center" vertical="top"/>
    </xf>
    <xf numFmtId="0" fontId="46" fillId="2" borderId="11" xfId="0" applyFont="1" applyFill="1" applyBorder="1" applyAlignment="1" applyProtection="1">
      <alignment vertical="top"/>
      <protection locked="0"/>
    </xf>
    <xf numFmtId="169" fontId="46" fillId="44" borderId="11" xfId="0" applyNumberFormat="1" applyFont="1" applyFill="1" applyBorder="1" applyAlignment="1">
      <alignment vertical="top" wrapText="1"/>
    </xf>
    <xf numFmtId="0" fontId="46" fillId="0" borderId="0" xfId="0" applyFont="1" applyAlignment="1">
      <alignment horizontal="left" vertical="top"/>
    </xf>
    <xf numFmtId="3" fontId="46" fillId="0" borderId="11" xfId="0" applyNumberFormat="1" applyFont="1" applyBorder="1" applyAlignment="1">
      <alignment vertical="top" wrapText="1"/>
    </xf>
    <xf numFmtId="0" fontId="46" fillId="2" borderId="12" xfId="0" applyFont="1" applyFill="1" applyBorder="1" applyAlignment="1">
      <alignment vertical="top" wrapText="1"/>
    </xf>
    <xf numFmtId="0" fontId="17" fillId="0" borderId="0" xfId="0" applyFont="1" applyAlignment="1">
      <alignment horizontal="right" vertical="top" wrapText="1"/>
    </xf>
    <xf numFmtId="10" fontId="17" fillId="5" borderId="6" xfId="0" applyNumberFormat="1" applyFont="1" applyFill="1" applyBorder="1" applyAlignment="1" applyProtection="1">
      <alignment horizontal="center" vertical="top" wrapText="1"/>
      <protection locked="0"/>
    </xf>
    <xf numFmtId="186" fontId="1" fillId="0" borderId="0" xfId="698" applyNumberFormat="1" applyFont="1"/>
    <xf numFmtId="10" fontId="1" fillId="0" borderId="0" xfId="1022" applyNumberFormat="1" applyFont="1"/>
    <xf numFmtId="173" fontId="17" fillId="0" borderId="0" xfId="0" applyNumberFormat="1" applyFont="1" applyAlignment="1">
      <alignment horizontal="center"/>
    </xf>
    <xf numFmtId="10" fontId="39" fillId="0" borderId="0" xfId="0" applyNumberFormat="1" applyFont="1" applyAlignment="1">
      <alignment horizontal="center"/>
    </xf>
    <xf numFmtId="173" fontId="17" fillId="5" borderId="0" xfId="0" applyNumberFormat="1" applyFont="1" applyFill="1" applyAlignment="1">
      <alignment horizontal="center"/>
    </xf>
    <xf numFmtId="3" fontId="17" fillId="0" borderId="0" xfId="0" applyNumberFormat="1" applyFont="1" applyAlignment="1">
      <alignment vertical="top"/>
    </xf>
    <xf numFmtId="0" fontId="0" fillId="0" borderId="3" xfId="0" applyBorder="1"/>
    <xf numFmtId="0" fontId="0" fillId="0" borderId="5" xfId="0" applyBorder="1"/>
    <xf numFmtId="0" fontId="17" fillId="0" borderId="3" xfId="0" applyFont="1" applyBorder="1"/>
    <xf numFmtId="0" fontId="17" fillId="0" borderId="4" xfId="0" applyFont="1" applyBorder="1"/>
    <xf numFmtId="0" fontId="17" fillId="0" borderId="5" xfId="0" applyFont="1" applyBorder="1"/>
    <xf numFmtId="169" fontId="0" fillId="0" borderId="3" xfId="0" applyNumberFormat="1" applyBorder="1"/>
    <xf numFmtId="169" fontId="0" fillId="0" borderId="4" xfId="0" applyNumberFormat="1" applyBorder="1"/>
    <xf numFmtId="169" fontId="0" fillId="0" borderId="5" xfId="0" applyNumberFormat="1" applyBorder="1"/>
    <xf numFmtId="0" fontId="17" fillId="0" borderId="0" xfId="0" applyFont="1" applyAlignment="1">
      <alignment horizontal="left" vertical="top" wrapText="1"/>
    </xf>
    <xf numFmtId="0" fontId="18" fillId="0" borderId="0" xfId="244" applyAlignment="1">
      <alignment horizontal="left" vertical="top"/>
    </xf>
    <xf numFmtId="0" fontId="40" fillId="0" borderId="0" xfId="0" applyFont="1" applyAlignment="1">
      <alignment horizontal="left" vertical="top" wrapText="1"/>
    </xf>
    <xf numFmtId="0" fontId="17" fillId="0" borderId="0" xfId="0" applyFont="1" applyAlignment="1">
      <alignment horizontal="left" wrapText="1"/>
    </xf>
    <xf numFmtId="0" fontId="18" fillId="0" borderId="0" xfId="244" applyAlignment="1"/>
    <xf numFmtId="0" fontId="17" fillId="0" borderId="0" xfId="1192" applyAlignment="1">
      <alignment horizontal="left" vertical="top" wrapText="1"/>
    </xf>
    <xf numFmtId="0" fontId="24" fillId="0" borderId="0" xfId="0" applyFont="1" applyAlignment="1">
      <alignment horizontal="left" vertical="top" wrapText="1"/>
    </xf>
    <xf numFmtId="0" fontId="17" fillId="0" borderId="0" xfId="569" applyAlignment="1">
      <alignment wrapText="1"/>
    </xf>
    <xf numFmtId="0" fontId="17" fillId="0" borderId="0" xfId="1192" applyAlignment="1">
      <alignment vertical="top" wrapText="1"/>
    </xf>
    <xf numFmtId="4" fontId="17" fillId="0" borderId="0" xfId="569" applyNumberFormat="1" applyAlignment="1">
      <alignment horizontal="left"/>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17" fillId="0" borderId="0" xfId="0" applyFont="1" applyAlignment="1">
      <alignment horizontal="left" vertical="top"/>
    </xf>
    <xf numFmtId="0" fontId="17" fillId="0" borderId="0" xfId="0" applyFont="1" applyAlignment="1">
      <alignmen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0" fontId="17" fillId="0" borderId="0" xfId="569" applyAlignment="1">
      <alignment horizontal="left"/>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569" applyFont="1" applyAlignment="1">
      <alignment horizontal="left"/>
    </xf>
    <xf numFmtId="4" fontId="17" fillId="0" borderId="0" xfId="1192" applyNumberFormat="1" applyAlignment="1">
      <alignment horizontal="left" vertical="top" wrapText="1"/>
    </xf>
    <xf numFmtId="0" fontId="17" fillId="0" borderId="0" xfId="569" applyAlignment="1">
      <alignment vertical="top" wrapText="1"/>
    </xf>
    <xf numFmtId="0" fontId="17" fillId="0" borderId="0" xfId="1192" applyAlignment="1">
      <alignment horizontal="left"/>
    </xf>
    <xf numFmtId="0" fontId="24" fillId="0" borderId="0" xfId="569" applyFont="1" applyAlignment="1">
      <alignment horizontal="center"/>
    </xf>
    <xf numFmtId="0" fontId="24" fillId="0" borderId="0" xfId="0" applyFont="1" applyAlignment="1">
      <alignment horizontal="left" vertical="top"/>
    </xf>
    <xf numFmtId="0" fontId="24" fillId="0" borderId="0" xfId="569" applyFont="1" applyAlignment="1">
      <alignment horizontal="left"/>
    </xf>
    <xf numFmtId="0" fontId="35" fillId="0" borderId="0" xfId="569" applyFont="1" applyAlignment="1">
      <alignment horizontal="center"/>
    </xf>
    <xf numFmtId="0" fontId="17" fillId="0" borderId="0" xfId="543" applyAlignment="1">
      <alignment horizontal="center"/>
    </xf>
    <xf numFmtId="0" fontId="17"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24" fillId="0" borderId="0" xfId="0" applyFont="1" applyAlignment="1">
      <alignment horizontal="center"/>
    </xf>
    <xf numFmtId="0" fontId="43"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25" fillId="0" borderId="0" xfId="0" applyFont="1" applyAlignment="1">
      <alignment horizontal="center"/>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4" xfId="0" applyFont="1" applyBorder="1" applyAlignment="1">
      <alignment horizontal="right"/>
    </xf>
    <xf numFmtId="0" fontId="24" fillId="0" borderId="5" xfId="0" applyFont="1" applyBorder="1" applyAlignment="1">
      <alignment horizontal="right"/>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0" fontId="24" fillId="0" borderId="6" xfId="0" applyFont="1" applyBorder="1" applyAlignment="1">
      <alignment horizontal="right"/>
    </xf>
    <xf numFmtId="0" fontId="24" fillId="0" borderId="7" xfId="543" applyFont="1" applyBorder="1" applyAlignment="1">
      <alignment horizontal="right"/>
    </xf>
    <xf numFmtId="0" fontId="0" fillId="5" borderId="3" xfId="0" applyFill="1" applyBorder="1" applyAlignment="1" applyProtection="1">
      <alignment horizontal="left"/>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24" fillId="0" borderId="6" xfId="0" applyFont="1" applyBorder="1" applyAlignment="1">
      <alignment horizontal="center"/>
    </xf>
    <xf numFmtId="0" fontId="24" fillId="0" borderId="7" xfId="0" applyFont="1" applyBorder="1" applyAlignment="1">
      <alignment horizontal="right"/>
    </xf>
    <xf numFmtId="0" fontId="24" fillId="0" borderId="2" xfId="0" applyFont="1" applyBorder="1" applyAlignment="1">
      <alignment horizontal="center"/>
    </xf>
    <xf numFmtId="0" fontId="0" fillId="0" borderId="12" xfId="0" applyBorder="1" applyAlignment="1">
      <alignment horizontal="center"/>
    </xf>
    <xf numFmtId="0" fontId="24" fillId="0" borderId="8" xfId="0" applyFont="1" applyBorder="1" applyAlignment="1">
      <alignment horizontal="center" vertical="center" wrapText="1"/>
    </xf>
    <xf numFmtId="0" fontId="17" fillId="0" borderId="4" xfId="0" applyFont="1" applyBorder="1" applyAlignment="1">
      <alignment horizontal="left"/>
    </xf>
    <xf numFmtId="0" fontId="0" fillId="0" borderId="5" xfId="0" applyBorder="1" applyAlignment="1">
      <alignment horizontal="left"/>
    </xf>
    <xf numFmtId="0" fontId="24"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6" fillId="0" borderId="0" xfId="0" applyFont="1" applyAlignment="1">
      <alignment vertical="top" wrapText="1"/>
    </xf>
    <xf numFmtId="0" fontId="17" fillId="0" borderId="0" xfId="569" applyAlignment="1">
      <alignment horizontal="right" vertical="top" wrapText="1"/>
    </xf>
    <xf numFmtId="0" fontId="92" fillId="47" borderId="41" xfId="8733" applyFont="1" applyFill="1" applyBorder="1" applyAlignment="1">
      <alignment horizontal="center"/>
    </xf>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46" fillId="0" borderId="0" xfId="569" applyFont="1" applyAlignment="1">
      <alignment horizontal="left"/>
    </xf>
    <xf numFmtId="0" fontId="17" fillId="0" borderId="0" xfId="4495" applyFont="1" applyAlignment="1">
      <alignment horizontal="left" vertical="center" wrapText="1"/>
    </xf>
    <xf numFmtId="0" fontId="24" fillId="0" borderId="0" xfId="4495" applyFont="1" applyAlignment="1">
      <alignment horizontal="right"/>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24" fillId="0" borderId="0" xfId="4495" applyFont="1" applyAlignment="1">
      <alignment horizontal="center" vertical="top"/>
    </xf>
    <xf numFmtId="0" fontId="17" fillId="0" borderId="0" xfId="1192" applyAlignment="1">
      <alignment horizontal="right"/>
    </xf>
    <xf numFmtId="9" fontId="17" fillId="0" borderId="0" xfId="1192" quotePrefix="1" applyNumberFormat="1" applyAlignment="1">
      <alignment horizontal="center"/>
    </xf>
    <xf numFmtId="0" fontId="17" fillId="0" borderId="0" xfId="4495" applyFont="1" applyAlignment="1">
      <alignment horizontal="left"/>
    </xf>
    <xf numFmtId="0" fontId="24" fillId="0" borderId="0" xfId="4495" applyFont="1" applyAlignment="1">
      <alignment horizontal="left" vertical="top"/>
    </xf>
    <xf numFmtId="0" fontId="110" fillId="0" borderId="0" xfId="4495" applyAlignment="1" applyProtection="1">
      <alignment horizontal="center"/>
      <protection locked="0"/>
    </xf>
    <xf numFmtId="166" fontId="17" fillId="0" borderId="0" xfId="1192" applyNumberFormat="1" applyAlignment="1">
      <alignment horizontal="right"/>
    </xf>
    <xf numFmtId="0" fontId="17" fillId="0" borderId="0" xfId="4495" applyFont="1" applyAlignment="1">
      <alignment horizontal="left" vertical="top" wrapText="1"/>
    </xf>
    <xf numFmtId="0" fontId="17" fillId="0" borderId="58" xfId="4495" applyFont="1" applyBorder="1" applyAlignment="1">
      <alignment horizontal="left" vertical="top" wrapText="1"/>
    </xf>
    <xf numFmtId="0" fontId="17" fillId="0" borderId="51" xfId="4495" applyFont="1" applyBorder="1" applyAlignment="1">
      <alignment horizontal="left" vertical="top" wrapText="1"/>
    </xf>
    <xf numFmtId="0" fontId="120" fillId="0" borderId="0" xfId="4495" applyFont="1" applyAlignment="1">
      <alignment horizontal="left" vertical="top" wrapText="1"/>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7" fillId="0" borderId="0" xfId="4495" applyFont="1" applyAlignment="1">
      <alignment horizontal="left" vertical="center" wrapText="1" shrinkToFi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0" fontId="24" fillId="0" borderId="3" xfId="4495" applyFont="1" applyBorder="1" applyAlignment="1">
      <alignment horizontal="left"/>
    </xf>
    <xf numFmtId="0" fontId="110" fillId="0" borderId="53" xfId="4495" applyBorder="1" applyAlignment="1">
      <alignment horizontal="center"/>
    </xf>
    <xf numFmtId="0" fontId="110" fillId="0" borderId="0" xfId="4495" applyAlignment="1">
      <alignment horizontal="center"/>
    </xf>
    <xf numFmtId="169" fontId="88" fillId="0" borderId="11" xfId="4499" applyNumberFormat="1" applyFont="1" applyFill="1" applyBorder="1" applyAlignment="1" applyProtection="1">
      <alignment horizontal="left" vertical="center" indent="1"/>
    </xf>
    <xf numFmtId="0" fontId="17" fillId="0" borderId="0" xfId="0" applyFont="1" applyAlignment="1">
      <alignment horizontal="left" vertical="top" wrapText="1"/>
    </xf>
    <xf numFmtId="0" fontId="18" fillId="0" borderId="0" xfId="244" applyAlignment="1"/>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0"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0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95" fillId="0" borderId="0" xfId="0" applyFont="1" applyAlignment="1">
      <alignment horizontal="left" vertical="top" wrapText="1"/>
    </xf>
    <xf numFmtId="0" fontId="18" fillId="0" borderId="0" xfId="244" applyAlignment="1">
      <alignment horizontal="left" vertical="top"/>
    </xf>
    <xf numFmtId="0" fontId="104" fillId="0" borderId="0" xfId="569" applyFont="1" applyAlignment="1">
      <alignment horizontal="center"/>
    </xf>
    <xf numFmtId="0" fontId="10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17" fillId="45" borderId="3" xfId="0" applyFont="1" applyFill="1" applyBorder="1" applyAlignment="1">
      <alignment horizontal="center"/>
    </xf>
    <xf numFmtId="0" fontId="17" fillId="45" borderId="4" xfId="0" applyFont="1" applyFill="1" applyBorder="1" applyAlignment="1">
      <alignment horizontal="center"/>
    </xf>
    <xf numFmtId="0" fontId="17" fillId="45" borderId="5" xfId="0" applyFont="1" applyFill="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169" fontId="0" fillId="5" borderId="4" xfId="0" applyNumberFormat="1" applyFill="1" applyBorder="1" applyAlignment="1" applyProtection="1">
      <alignment horizontal="right"/>
      <protection locked="0"/>
    </xf>
    <xf numFmtId="169" fontId="0" fillId="5" borderId="5" xfId="0" applyNumberFormat="1" applyFill="1" applyBorder="1" applyAlignment="1" applyProtection="1">
      <alignment horizontal="right"/>
      <protection locked="0"/>
    </xf>
    <xf numFmtId="169" fontId="174" fillId="0" borderId="105" xfId="543" applyNumberFormat="1" applyFont="1" applyBorder="1" applyAlignment="1">
      <alignment horizontal="right" vertical="center" wrapText="1"/>
    </xf>
    <xf numFmtId="176" fontId="174" fillId="0" borderId="107" xfId="543" applyNumberFormat="1" applyFont="1" applyBorder="1" applyAlignment="1">
      <alignment horizontal="center" vertical="center" wrapText="1"/>
    </xf>
    <xf numFmtId="176" fontId="174" fillId="0" borderId="108" xfId="543" applyNumberFormat="1" applyFont="1" applyBorder="1" applyAlignment="1">
      <alignment horizontal="center" vertical="center" wrapText="1"/>
    </xf>
    <xf numFmtId="176"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45" borderId="11" xfId="0" applyFont="1" applyFill="1" applyBorder="1" applyAlignment="1">
      <alignment horizontal="center"/>
    </xf>
    <xf numFmtId="0" fontId="17" fillId="5" borderId="3" xfId="0" applyFont="1" applyFill="1" applyBorder="1" applyAlignment="1" applyProtection="1">
      <alignment horizontal="center"/>
      <protection locked="0"/>
    </xf>
    <xf numFmtId="0" fontId="17" fillId="5" borderId="4" xfId="0" applyFont="1" applyFill="1" applyBorder="1" applyAlignment="1" applyProtection="1">
      <alignment horizontal="center"/>
      <protection locked="0"/>
    </xf>
    <xf numFmtId="0" fontId="17" fillId="5" borderId="5" xfId="0" applyFont="1" applyFill="1" applyBorder="1" applyAlignment="1" applyProtection="1">
      <alignment horizontal="center"/>
      <protection locked="0"/>
    </xf>
    <xf numFmtId="169" fontId="17" fillId="0" borderId="3" xfId="0" applyNumberFormat="1" applyFont="1" applyBorder="1" applyAlignment="1">
      <alignment horizontal="center"/>
    </xf>
    <xf numFmtId="169" fontId="17" fillId="0" borderId="4" xfId="0" applyNumberFormat="1" applyFont="1" applyBorder="1" applyAlignment="1">
      <alignment horizontal="center"/>
    </xf>
    <xf numFmtId="169" fontId="17" fillId="0" borderId="5" xfId="0" applyNumberFormat="1" applyFont="1" applyBorder="1" applyAlignment="1">
      <alignment horizontal="center"/>
    </xf>
    <xf numFmtId="166" fontId="17" fillId="0" borderId="1" xfId="0" applyNumberFormat="1" applyFont="1" applyBorder="1" applyAlignment="1">
      <alignment horizontal="right"/>
    </xf>
    <xf numFmtId="166" fontId="17" fillId="0" borderId="2" xfId="0" applyNumberFormat="1" applyFont="1" applyBorder="1" applyAlignment="1">
      <alignment horizontal="right"/>
    </xf>
    <xf numFmtId="166" fontId="17" fillId="0" borderId="7" xfId="0" applyNumberFormat="1" applyFont="1" applyBorder="1" applyAlignment="1">
      <alignment horizontal="right"/>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17"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9" fontId="17" fillId="0" borderId="11" xfId="0" applyNumberFormat="1" applyFont="1" applyBorder="1" applyAlignment="1">
      <alignment horizontal="center"/>
    </xf>
    <xf numFmtId="169" fontId="146" fillId="0" borderId="0" xfId="0" applyNumberFormat="1" applyFont="1" applyAlignment="1">
      <alignment horizontal="center" vertical="center" wrapText="1"/>
    </xf>
    <xf numFmtId="169" fontId="17" fillId="0" borderId="3" xfId="0" applyNumberFormat="1" applyFont="1" applyBorder="1" applyAlignment="1">
      <alignment horizontal="left" vertical="top"/>
    </xf>
    <xf numFmtId="169" fontId="17" fillId="0" borderId="4" xfId="0" applyNumberFormat="1" applyFont="1" applyBorder="1" applyAlignment="1">
      <alignment horizontal="left" vertical="top"/>
    </xf>
    <xf numFmtId="169" fontId="1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5" borderId="9" xfId="0" applyFont="1" applyFill="1" applyBorder="1" applyAlignment="1" applyProtection="1">
      <alignment horizontal="center"/>
      <protection locked="0"/>
    </xf>
    <xf numFmtId="0" fontId="17" fillId="5" borderId="6" xfId="0" applyFont="1" applyFill="1" applyBorder="1" applyAlignment="1" applyProtection="1">
      <alignment horizontal="center"/>
      <protection locked="0"/>
    </xf>
    <xf numFmtId="1" fontId="17" fillId="5" borderId="3" xfId="0" applyNumberFormat="1" applyFont="1" applyFill="1" applyBorder="1" applyAlignment="1" applyProtection="1">
      <alignment horizontal="right" vertical="top"/>
      <protection locked="0"/>
    </xf>
    <xf numFmtId="1" fontId="17" fillId="5" borderId="4" xfId="0" applyNumberFormat="1" applyFont="1" applyFill="1" applyBorder="1" applyAlignment="1" applyProtection="1">
      <alignment horizontal="right" vertical="top"/>
      <protection locked="0"/>
    </xf>
    <xf numFmtId="1" fontId="17" fillId="5" borderId="5" xfId="0" applyNumberFormat="1" applyFont="1" applyFill="1" applyBorder="1" applyAlignment="1" applyProtection="1">
      <alignment horizontal="right" vertical="top"/>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1" fontId="25" fillId="43" borderId="3" xfId="0" applyNumberFormat="1" applyFont="1" applyFill="1" applyBorder="1" applyAlignment="1" applyProtection="1">
      <alignment horizontal="center" vertical="center"/>
      <protection locked="0"/>
    </xf>
    <xf numFmtId="181" fontId="25" fillId="43" borderId="4" xfId="0" applyNumberFormat="1" applyFont="1" applyFill="1" applyBorder="1" applyAlignment="1" applyProtection="1">
      <alignment horizontal="center" vertical="center"/>
      <protection locked="0"/>
    </xf>
    <xf numFmtId="181"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7" fillId="5" borderId="11" xfId="0" applyNumberFormat="1" applyFont="1" applyFill="1" applyBorder="1" applyAlignment="1" applyProtection="1">
      <alignment horizontal="center"/>
      <protection locked="0"/>
    </xf>
    <xf numFmtId="10" fontId="17"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6" fontId="17" fillId="43" borderId="3" xfId="0" applyNumberFormat="1" applyFont="1" applyFill="1" applyBorder="1" applyAlignment="1" applyProtection="1">
      <alignment horizontal="center" vertical="center"/>
      <protection locked="0"/>
    </xf>
    <xf numFmtId="176" fontId="17" fillId="43" borderId="4" xfId="0" applyNumberFormat="1" applyFont="1" applyFill="1" applyBorder="1" applyAlignment="1" applyProtection="1">
      <alignment horizontal="center" vertical="center"/>
      <protection locked="0"/>
    </xf>
    <xf numFmtId="176"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7" fillId="0" borderId="11" xfId="0" applyNumberFormat="1" applyFont="1" applyBorder="1" applyAlignment="1">
      <alignment horizontal="center"/>
    </xf>
    <xf numFmtId="176"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9" fontId="17" fillId="43" borderId="3" xfId="0" applyNumberFormat="1" applyFont="1" applyFill="1" applyBorder="1" applyAlignment="1" applyProtection="1">
      <alignment horizontal="center" vertical="center"/>
      <protection locked="0"/>
    </xf>
    <xf numFmtId="169" fontId="17" fillId="43" borderId="4" xfId="0" applyNumberFormat="1" applyFont="1" applyFill="1" applyBorder="1" applyAlignment="1" applyProtection="1">
      <alignment horizontal="center" vertical="center"/>
      <protection locked="0"/>
    </xf>
    <xf numFmtId="169"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horizontal="right"/>
      <protection locked="0"/>
    </xf>
    <xf numFmtId="169" fontId="17" fillId="5" borderId="6" xfId="0" applyNumberFormat="1" applyFont="1" applyFill="1" applyBorder="1" applyAlignment="1" applyProtection="1">
      <alignment horizontal="right"/>
      <protection locked="0"/>
    </xf>
    <xf numFmtId="169" fontId="17" fillId="5" borderId="4" xfId="0" applyNumberFormat="1" applyFont="1" applyFill="1" applyBorder="1" applyAlignment="1" applyProtection="1">
      <alignment horizontal="right"/>
      <protection locked="0"/>
    </xf>
    <xf numFmtId="166" fontId="17" fillId="5" borderId="3" xfId="0" applyNumberFormat="1" applyFont="1" applyFill="1" applyBorder="1" applyAlignment="1" applyProtection="1">
      <alignment horizontal="center"/>
      <protection locked="0"/>
    </xf>
    <xf numFmtId="166" fontId="17" fillId="5" borderId="4" xfId="0" applyNumberFormat="1" applyFont="1" applyFill="1" applyBorder="1" applyAlignment="1" applyProtection="1">
      <alignment horizontal="center"/>
      <protection locked="0"/>
    </xf>
    <xf numFmtId="166" fontId="1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7" fillId="5" borderId="11" xfId="0" quotePrefix="1" applyNumberFormat="1" applyFont="1" applyFill="1" applyBorder="1" applyAlignment="1" applyProtection="1">
      <alignment horizontal="center"/>
      <protection locked="0"/>
    </xf>
    <xf numFmtId="1" fontId="17" fillId="5" borderId="11" xfId="0" applyNumberFormat="1" applyFont="1" applyFill="1" applyBorder="1" applyAlignment="1" applyProtection="1">
      <alignment horizontal="center"/>
      <protection locked="0"/>
    </xf>
    <xf numFmtId="169" fontId="0" fillId="5" borderId="3" xfId="0" applyNumberFormat="1" applyFill="1" applyBorder="1" applyAlignment="1" applyProtection="1">
      <alignment horizontal="right" vertical="center"/>
      <protection locked="0"/>
    </xf>
    <xf numFmtId="169" fontId="0" fillId="5" borderId="4" xfId="0" applyNumberFormat="1" applyFill="1" applyBorder="1" applyAlignment="1" applyProtection="1">
      <alignment horizontal="right" vertical="center"/>
      <protection locked="0"/>
    </xf>
    <xf numFmtId="169" fontId="0" fillId="5" borderId="5" xfId="0" applyNumberFormat="1" applyFill="1" applyBorder="1" applyAlignment="1" applyProtection="1">
      <alignment horizontal="right" vertical="center"/>
      <protection locked="0"/>
    </xf>
    <xf numFmtId="169" fontId="17" fillId="5" borderId="3" xfId="0" applyNumberFormat="1" applyFont="1" applyFill="1" applyBorder="1" applyAlignment="1" applyProtection="1">
      <alignment horizontal="center"/>
      <protection locked="0"/>
    </xf>
    <xf numFmtId="169" fontId="17" fillId="5" borderId="4" xfId="0" applyNumberFormat="1" applyFont="1" applyFill="1" applyBorder="1" applyAlignment="1" applyProtection="1">
      <alignment horizontal="center"/>
      <protection locked="0"/>
    </xf>
    <xf numFmtId="169" fontId="17" fillId="5" borderId="5" xfId="0" applyNumberFormat="1" applyFont="1" applyFill="1" applyBorder="1" applyAlignment="1" applyProtection="1">
      <alignment horizontal="center"/>
      <protection locked="0"/>
    </xf>
    <xf numFmtId="0" fontId="17" fillId="5" borderId="4" xfId="0" applyFont="1" applyFill="1" applyBorder="1" applyAlignment="1" applyProtection="1">
      <alignment horizontal="lef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5" xfId="0" applyNumberFormat="1" applyBorder="1" applyAlignment="1">
      <alignment horizontal="right"/>
    </xf>
    <xf numFmtId="169"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6" fontId="17" fillId="43" borderId="3" xfId="0" applyNumberFormat="1" applyFont="1" applyFill="1" applyBorder="1" applyAlignment="1" applyProtection="1">
      <alignment horizontal="center"/>
      <protection locked="0"/>
    </xf>
    <xf numFmtId="176" fontId="17" fillId="43" borderId="4" xfId="0" applyNumberFormat="1" applyFont="1" applyFill="1" applyBorder="1" applyAlignment="1" applyProtection="1">
      <alignment horizontal="center"/>
      <protection locked="0"/>
    </xf>
    <xf numFmtId="176"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9" fontId="0" fillId="43" borderId="3" xfId="0" applyNumberFormat="1" applyFill="1" applyBorder="1" applyAlignment="1" applyProtection="1">
      <alignment horizontal="center"/>
      <protection locked="0"/>
    </xf>
    <xf numFmtId="169" fontId="0" fillId="43" borderId="4" xfId="0" applyNumberFormat="1" applyFill="1" applyBorder="1" applyAlignment="1" applyProtection="1">
      <alignment horizontal="center"/>
      <protection locked="0"/>
    </xf>
    <xf numFmtId="169" fontId="0" fillId="43" borderId="5" xfId="0" applyNumberFormat="1" applyFill="1" applyBorder="1" applyAlignment="1" applyProtection="1">
      <alignment horizontal="center"/>
      <protection locked="0"/>
    </xf>
    <xf numFmtId="167" fontId="17" fillId="5" borderId="4" xfId="0" applyNumberFormat="1" applyFont="1" applyFill="1" applyBorder="1" applyAlignment="1" applyProtection="1">
      <alignment horizontal="left"/>
      <protection locked="0"/>
    </xf>
    <xf numFmtId="0" fontId="17" fillId="0" borderId="11" xfId="543" applyBorder="1" applyAlignment="1">
      <alignment horizontal="center"/>
    </xf>
    <xf numFmtId="169" fontId="0" fillId="5" borderId="3" xfId="0" applyNumberFormat="1" applyFill="1" applyBorder="1" applyAlignment="1" applyProtection="1">
      <alignment horizontal="center"/>
      <protection locked="0"/>
    </xf>
    <xf numFmtId="169" fontId="0" fillId="5" borderId="4" xfId="0" applyNumberFormat="1" applyFill="1" applyBorder="1" applyAlignment="1" applyProtection="1">
      <alignment horizontal="center"/>
      <protection locked="0"/>
    </xf>
    <xf numFmtId="169"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7" xfId="0" applyFont="1" applyBorder="1" applyAlignment="1">
      <alignment horizontal="center" vertical="top" wrapText="1"/>
    </xf>
    <xf numFmtId="0" fontId="17" fillId="0" borderId="8" xfId="0" applyFont="1" applyBorder="1" applyAlignment="1">
      <alignment horizontal="center" vertical="top" wrapText="1"/>
    </xf>
    <xf numFmtId="0" fontId="17" fillId="0" borderId="0" xfId="0" applyFont="1" applyAlignment="1">
      <alignment horizontal="center" vertical="top" wrapText="1"/>
    </xf>
    <xf numFmtId="0" fontId="17" fillId="0" borderId="12" xfId="0" applyFont="1" applyBorder="1" applyAlignment="1">
      <alignment horizontal="center" vertical="top" wrapText="1"/>
    </xf>
    <xf numFmtId="0" fontId="17" fillId="0" borderId="9" xfId="0" applyFont="1" applyBorder="1" applyAlignment="1">
      <alignment horizontal="center" vertical="top" wrapText="1"/>
    </xf>
    <xf numFmtId="0" fontId="17" fillId="0" borderId="6" xfId="0" applyFont="1" applyBorder="1" applyAlignment="1">
      <alignment horizontal="center" vertical="top" wrapText="1"/>
    </xf>
    <xf numFmtId="0" fontId="17" fillId="0" borderId="10" xfId="0" applyFont="1" applyBorder="1" applyAlignment="1">
      <alignment horizontal="center" vertical="top" wrapText="1"/>
    </xf>
    <xf numFmtId="0" fontId="2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9" fontId="0" fillId="43" borderId="6" xfId="0" applyNumberFormat="1" applyFill="1" applyBorder="1" applyAlignment="1" applyProtection="1">
      <alignment horizontal="right"/>
      <protection locked="0"/>
    </xf>
    <xf numFmtId="179" fontId="17"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17" fillId="5" borderId="6" xfId="0" applyNumberFormat="1" applyFont="1" applyFill="1" applyBorder="1" applyAlignment="1" applyProtection="1">
      <alignment horizontal="right"/>
      <protection locked="0"/>
    </xf>
    <xf numFmtId="169" fontId="0" fillId="5" borderId="6" xfId="0" applyNumberFormat="1" applyFill="1" applyBorder="1" applyAlignment="1" applyProtection="1">
      <alignment horizontal="right"/>
      <protection locked="0"/>
    </xf>
    <xf numFmtId="0" fontId="17" fillId="5" borderId="0" xfId="0" applyFont="1" applyFill="1" applyAlignment="1" applyProtection="1">
      <alignment horizontal="left" vertical="top" wrapText="1"/>
      <protection locked="0"/>
    </xf>
    <xf numFmtId="0" fontId="1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17" fillId="5" borderId="6" xfId="0" applyFont="1" applyFill="1" applyBorder="1" applyAlignment="1" applyProtection="1">
      <alignment horizontal="left" wrapText="1"/>
      <protection locked="0"/>
    </xf>
    <xf numFmtId="167" fontId="17" fillId="5" borderId="6" xfId="0" applyNumberFormat="1" applyFont="1" applyFill="1" applyBorder="1" applyAlignment="1" applyProtection="1">
      <alignment horizontal="left"/>
      <protection locked="0"/>
    </xf>
    <xf numFmtId="0" fontId="0" fillId="0" borderId="0" xfId="0" applyAlignment="1">
      <alignment wrapText="1"/>
    </xf>
    <xf numFmtId="0" fontId="14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9" fontId="17" fillId="0" borderId="6" xfId="0" applyNumberFormat="1" applyFont="1" applyBorder="1" applyAlignment="1">
      <alignment horizontal="center"/>
    </xf>
    <xf numFmtId="169" fontId="0" fillId="0" borderId="6" xfId="0" applyNumberFormat="1" applyBorder="1" applyAlignment="1">
      <alignment horizontal="center"/>
    </xf>
    <xf numFmtId="167"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5" fontId="0" fillId="5" borderId="4" xfId="0" applyNumberFormat="1" applyFill="1" applyBorder="1" applyAlignment="1" applyProtection="1">
      <alignment horizontal="left"/>
      <protection locked="0"/>
    </xf>
    <xf numFmtId="0" fontId="17" fillId="0" borderId="6" xfId="0" applyFont="1" applyBorder="1" applyAlignment="1">
      <alignment horizontal="left" wrapText="1"/>
    </xf>
    <xf numFmtId="168"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7"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4"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7"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17"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3"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9" fontId="46" fillId="0" borderId="2" xfId="0" applyNumberFormat="1" applyFont="1" applyBorder="1" applyAlignment="1">
      <alignment horizontal="left" vertical="top" wrapText="1"/>
    </xf>
    <xf numFmtId="169" fontId="46"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7" fillId="5" borderId="4" xfId="0" applyNumberFormat="1" applyFont="1" applyFill="1" applyBorder="1" applyAlignment="1" applyProtection="1">
      <alignment horizontal="right"/>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9" fontId="0" fillId="5" borderId="11" xfId="0" applyNumberFormat="1" applyFill="1" applyBorder="1" applyAlignment="1" applyProtection="1">
      <alignment horizontal="center"/>
      <protection locked="0"/>
    </xf>
    <xf numFmtId="169" fontId="0" fillId="0" borderId="11" xfId="0" applyNumberFormat="1" applyBorder="1" applyAlignment="1">
      <alignment horizontal="right"/>
    </xf>
    <xf numFmtId="0" fontId="17"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7" fillId="5" borderId="3" xfId="0" applyNumberFormat="1" applyFont="1" applyFill="1" applyBorder="1" applyAlignment="1" applyProtection="1">
      <alignment horizontal="center"/>
      <protection locked="0"/>
    </xf>
    <xf numFmtId="9" fontId="17" fillId="5" borderId="4" xfId="0" applyNumberFormat="1" applyFont="1" applyFill="1" applyBorder="1" applyAlignment="1" applyProtection="1">
      <alignment horizontal="center"/>
      <protection locked="0"/>
    </xf>
    <xf numFmtId="9" fontId="17"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6" fontId="24" fillId="0" borderId="3" xfId="271" applyNumberFormat="1" applyFont="1" applyBorder="1" applyAlignment="1">
      <alignment horizontal="center"/>
    </xf>
    <xf numFmtId="166" fontId="24" fillId="0" borderId="4" xfId="271" applyNumberFormat="1" applyFont="1" applyBorder="1" applyAlignment="1">
      <alignment horizontal="center"/>
    </xf>
    <xf numFmtId="166"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9" fontId="0" fillId="5" borderId="9" xfId="0" applyNumberFormat="1" applyFill="1" applyBorder="1" applyAlignment="1" applyProtection="1">
      <alignment horizontal="right"/>
      <protection locked="0"/>
    </xf>
    <xf numFmtId="169"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9" fontId="0" fillId="5" borderId="11"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5" xfId="0" applyNumberFormat="1" applyBorder="1"/>
    <xf numFmtId="165" fontId="25" fillId="5" borderId="3" xfId="0" applyNumberFormat="1" applyFont="1" applyFill="1" applyBorder="1" applyAlignment="1" applyProtection="1">
      <alignment horizontal="left"/>
      <protection locked="0"/>
    </xf>
    <xf numFmtId="165" fontId="25" fillId="5" borderId="4" xfId="0" applyNumberFormat="1" applyFont="1" applyFill="1" applyBorder="1" applyAlignment="1" applyProtection="1">
      <alignment horizontal="left"/>
      <protection locked="0"/>
    </xf>
    <xf numFmtId="165"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9" fontId="17" fillId="5" borderId="10" xfId="0" applyNumberFormat="1" applyFont="1" applyFill="1" applyBorder="1" applyAlignment="1" applyProtection="1">
      <alignment horizontal="right"/>
      <protection locked="0"/>
    </xf>
    <xf numFmtId="169" fontId="17" fillId="5" borderId="13" xfId="0" applyNumberFormat="1" applyFont="1" applyFill="1" applyBorder="1" applyAlignment="1" applyProtection="1">
      <alignment horizontal="right"/>
      <protection locked="0"/>
    </xf>
    <xf numFmtId="169" fontId="0" fillId="0" borderId="11" xfId="0" applyNumberFormat="1" applyBorder="1" applyAlignment="1">
      <alignment horizontal="center"/>
    </xf>
    <xf numFmtId="169" fontId="0" fillId="5" borderId="3" xfId="0" applyNumberFormat="1" applyFill="1" applyBorder="1" applyProtection="1">
      <protection locked="0"/>
    </xf>
    <xf numFmtId="169" fontId="0" fillId="5" borderId="4" xfId="0" applyNumberFormat="1" applyFill="1" applyBorder="1" applyProtection="1">
      <protection locked="0"/>
    </xf>
    <xf numFmtId="169" fontId="0" fillId="5" borderId="5" xfId="0" applyNumberFormat="1" applyFill="1" applyBorder="1" applyProtection="1">
      <protection locked="0"/>
    </xf>
    <xf numFmtId="169" fontId="0" fillId="5" borderId="11" xfId="0" applyNumberFormat="1" applyFill="1" applyBorder="1" applyProtection="1">
      <protection locked="0"/>
    </xf>
    <xf numFmtId="169" fontId="0" fillId="0" borderId="11" xfId="0" applyNumberFormat="1" applyBorder="1"/>
    <xf numFmtId="0" fontId="17" fillId="5" borderId="3" xfId="0" applyFont="1" applyFill="1" applyBorder="1" applyProtection="1">
      <protection locked="0"/>
    </xf>
    <xf numFmtId="0" fontId="17" fillId="0" borderId="4" xfId="0" applyFont="1" applyBorder="1" applyProtection="1">
      <protection locked="0"/>
    </xf>
    <xf numFmtId="0" fontId="17" fillId="0" borderId="5" xfId="0" applyFont="1" applyBorder="1" applyProtection="1">
      <protection locked="0"/>
    </xf>
    <xf numFmtId="169" fontId="17" fillId="5" borderId="3" xfId="0" applyNumberFormat="1" applyFont="1" applyFill="1" applyBorder="1" applyAlignment="1" applyProtection="1">
      <alignment horizontal="right"/>
      <protection locked="0"/>
    </xf>
    <xf numFmtId="169"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2" fontId="17" fillId="0" borderId="0" xfId="543" applyNumberFormat="1" applyAlignment="1">
      <alignment horizontal="center"/>
    </xf>
    <xf numFmtId="172"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1" xfId="0" applyFont="1" applyBorder="1" applyAlignment="1">
      <alignment horizontal="center" vertical="center"/>
    </xf>
    <xf numFmtId="173" fontId="24" fillId="0" borderId="11" xfId="0" applyNumberFormat="1" applyFont="1" applyBorder="1" applyAlignment="1">
      <alignment horizontal="center" vertical="center" wrapText="1"/>
    </xf>
    <xf numFmtId="169" fontId="17" fillId="5" borderId="3" xfId="0" applyNumberFormat="1" applyFont="1" applyFill="1" applyBorder="1" applyAlignment="1" applyProtection="1">
      <alignment horizontal="left" vertical="top"/>
      <protection locked="0"/>
    </xf>
    <xf numFmtId="169" fontId="17" fillId="5" borderId="4" xfId="0" applyNumberFormat="1" applyFont="1" applyFill="1" applyBorder="1" applyAlignment="1" applyProtection="1">
      <alignment horizontal="left" vertical="top"/>
      <protection locked="0"/>
    </xf>
    <xf numFmtId="169" fontId="17"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0" xfId="0" applyFont="1" applyAlignment="1">
      <alignment horizontal="center" vertical="center" wrapText="1"/>
    </xf>
    <xf numFmtId="0" fontId="47" fillId="0" borderId="12"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0" xfId="0"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25" fillId="5" borderId="3" xfId="543" applyFont="1" applyFill="1" applyBorder="1" applyAlignment="1">
      <alignment horizontal="center"/>
    </xf>
    <xf numFmtId="0" fontId="25" fillId="5" borderId="4" xfId="543" applyFont="1" applyFill="1" applyBorder="1" applyAlignment="1">
      <alignment horizontal="center"/>
    </xf>
    <xf numFmtId="0" fontId="25"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9" fontId="17" fillId="5" borderId="3" xfId="0" applyNumberFormat="1" applyFont="1" applyFill="1" applyBorder="1" applyAlignment="1" applyProtection="1">
      <alignment horizontal="left"/>
      <protection locked="0"/>
    </xf>
    <xf numFmtId="169" fontId="17" fillId="5" borderId="4" xfId="0" applyNumberFormat="1" applyFont="1" applyFill="1" applyBorder="1" applyAlignment="1" applyProtection="1">
      <alignment horizontal="left"/>
      <protection locked="0"/>
    </xf>
    <xf numFmtId="169"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9" fontId="17" fillId="10" borderId="3" xfId="543" applyNumberFormat="1" applyFill="1" applyBorder="1" applyAlignment="1">
      <alignment horizontal="center"/>
    </xf>
    <xf numFmtId="169" fontId="17" fillId="10" borderId="4" xfId="543" applyNumberFormat="1" applyFill="1" applyBorder="1" applyAlignment="1">
      <alignment horizontal="center"/>
    </xf>
    <xf numFmtId="169"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17" fillId="0" borderId="4" xfId="0" applyNumberFormat="1" applyFont="1" applyBorder="1" applyAlignment="1">
      <alignment horizontal="center"/>
    </xf>
    <xf numFmtId="1" fontId="17"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9" fontId="17" fillId="0" borderId="1" xfId="543" applyNumberFormat="1" applyBorder="1" applyAlignment="1">
      <alignment horizontal="center" vertical="center"/>
    </xf>
    <xf numFmtId="169" fontId="17" fillId="0" borderId="2" xfId="543" applyNumberFormat="1" applyBorder="1" applyAlignment="1">
      <alignment horizontal="center" vertical="center"/>
    </xf>
    <xf numFmtId="169" fontId="17" fillId="0" borderId="7" xfId="543" applyNumberFormat="1" applyBorder="1" applyAlignment="1">
      <alignment horizontal="center" vertical="center"/>
    </xf>
    <xf numFmtId="169" fontId="17" fillId="0" borderId="8" xfId="543" applyNumberFormat="1" applyBorder="1" applyAlignment="1">
      <alignment horizontal="center" vertical="center"/>
    </xf>
    <xf numFmtId="169" fontId="17" fillId="0" borderId="0" xfId="543" applyNumberFormat="1" applyAlignment="1">
      <alignment horizontal="center" vertical="center"/>
    </xf>
    <xf numFmtId="169" fontId="17" fillId="0" borderId="12" xfId="543" applyNumberFormat="1" applyBorder="1" applyAlignment="1">
      <alignment horizontal="center" vertical="center"/>
    </xf>
    <xf numFmtId="169" fontId="17" fillId="0" borderId="9" xfId="543" applyNumberFormat="1" applyBorder="1" applyAlignment="1">
      <alignment horizontal="center" vertical="center"/>
    </xf>
    <xf numFmtId="169" fontId="17" fillId="0" borderId="6" xfId="543" applyNumberFormat="1" applyBorder="1" applyAlignment="1">
      <alignment horizontal="center" vertical="center"/>
    </xf>
    <xf numFmtId="169"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17" fillId="5" borderId="4" xfId="543" applyFill="1" applyBorder="1" applyAlignment="1" applyProtection="1">
      <alignment horizontal="left" vertical="top" wrapText="1"/>
      <protection locked="0"/>
    </xf>
    <xf numFmtId="0" fontId="17" fillId="5" borderId="5" xfId="543"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5" fillId="0" borderId="3" xfId="543" applyFont="1" applyBorder="1" applyAlignment="1">
      <alignment horizontal="center"/>
    </xf>
    <xf numFmtId="0" fontId="25" fillId="0" borderId="5" xfId="543" applyFont="1" applyBorder="1" applyAlignment="1">
      <alignment horizont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9"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3"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9" fontId="17" fillId="0" borderId="11" xfId="543" applyNumberFormat="1" applyBorder="1" applyAlignment="1">
      <alignment horizontal="center"/>
    </xf>
    <xf numFmtId="0" fontId="24" fillId="0" borderId="4" xfId="543" applyFont="1" applyBorder="1" applyAlignment="1">
      <alignment horizontal="right" vertical="top" wrapText="1"/>
    </xf>
    <xf numFmtId="0" fontId="24" fillId="0" borderId="5" xfId="543" applyFont="1" applyBorder="1" applyAlignment="1">
      <alignment horizontal="right" vertical="top" wrapText="1"/>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4" fillId="0" borderId="1" xfId="543" applyFont="1" applyBorder="1" applyAlignment="1">
      <alignment horizontal="right"/>
    </xf>
    <xf numFmtId="0" fontId="24" fillId="0" borderId="2" xfId="543" applyFont="1" applyBorder="1" applyAlignment="1">
      <alignment horizontal="right"/>
    </xf>
    <xf numFmtId="0" fontId="24"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9" fontId="24" fillId="0" borderId="3" xfId="543" applyNumberFormat="1" applyFont="1" applyBorder="1" applyAlignment="1">
      <alignment horizontal="center" vertical="center"/>
    </xf>
    <xf numFmtId="169" fontId="24" fillId="0" borderId="4" xfId="543" applyNumberFormat="1" applyFont="1" applyBorder="1" applyAlignment="1">
      <alignment horizontal="center" vertical="center"/>
    </xf>
    <xf numFmtId="169"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10" xfId="0" applyFont="1" applyBorder="1" applyAlignment="1">
      <alignment horizontal="left" wrapText="1"/>
    </xf>
    <xf numFmtId="0" fontId="46" fillId="5" borderId="3" xfId="0" applyFont="1" applyFill="1" applyBorder="1" applyAlignment="1" applyProtection="1">
      <alignment horizontal="right"/>
      <protection locked="0"/>
    </xf>
    <xf numFmtId="0" fontId="46" fillId="5" borderId="4" xfId="0" applyFont="1" applyFill="1" applyBorder="1" applyAlignment="1" applyProtection="1">
      <alignment horizontal="right"/>
      <protection locked="0"/>
    </xf>
    <xf numFmtId="0" fontId="46"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1" fontId="0" fillId="0" borderId="6" xfId="0" applyNumberFormat="1" applyBorder="1" applyAlignment="1">
      <alignment horizontal="center"/>
    </xf>
    <xf numFmtId="0" fontId="43"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7" fillId="0" borderId="0" xfId="0" applyFont="1" applyAlignment="1">
      <alignment vertical="center" wrapText="1"/>
    </xf>
    <xf numFmtId="0" fontId="17" fillId="0" borderId="0" xfId="543" applyAlignment="1">
      <alignment wrapText="1"/>
    </xf>
    <xf numFmtId="0" fontId="17" fillId="0" borderId="2" xfId="0" applyFont="1" applyBorder="1" applyAlignment="1">
      <alignment horizontal="left" vertical="top" wrapText="1"/>
    </xf>
    <xf numFmtId="178" fontId="17" fillId="5" borderId="6"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7" fillId="0" borderId="6" xfId="0" applyFont="1" applyBorder="1" applyAlignment="1">
      <alignment horizontal="right" vertical="top" wrapText="1"/>
    </xf>
    <xf numFmtId="0" fontId="17" fillId="0" borderId="6" xfId="0" applyFont="1" applyBorder="1" applyAlignment="1">
      <alignment vertical="top" wrapText="1"/>
    </xf>
    <xf numFmtId="0" fontId="50" fillId="2" borderId="3" xfId="0" applyFont="1" applyFill="1" applyBorder="1" applyAlignment="1">
      <alignment horizontal="center" vertical="top"/>
    </xf>
    <xf numFmtId="0" fontId="50" fillId="2" borderId="4" xfId="0" applyFont="1" applyFill="1" applyBorder="1" applyAlignment="1">
      <alignment horizontal="center" vertical="top"/>
    </xf>
    <xf numFmtId="0" fontId="50" fillId="2" borderId="5" xfId="0" applyFont="1" applyFill="1" applyBorder="1" applyAlignment="1">
      <alignment horizontal="center" vertical="top"/>
    </xf>
    <xf numFmtId="0" fontId="17" fillId="0" borderId="2" xfId="0" applyFont="1" applyBorder="1" applyAlignment="1">
      <alignment vertical="top" wrapText="1"/>
    </xf>
    <xf numFmtId="0" fontId="46" fillId="0" borderId="0" xfId="0" applyFont="1" applyAlignment="1">
      <alignment vertical="top" wrapText="1"/>
    </xf>
    <xf numFmtId="0" fontId="47"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59" fillId="44" borderId="80" xfId="8733" applyFont="1" applyFill="1" applyBorder="1" applyAlignment="1">
      <alignment horizontal="left"/>
    </xf>
    <xf numFmtId="0" fontId="159" fillId="44" borderId="79" xfId="8733" applyFont="1" applyFill="1" applyBorder="1" applyAlignment="1">
      <alignment horizontal="left"/>
    </xf>
    <xf numFmtId="0" fontId="159" fillId="44" borderId="78" xfId="8733" applyFont="1" applyFill="1" applyBorder="1" applyAlignment="1">
      <alignment horizontal="left"/>
    </xf>
    <xf numFmtId="0" fontId="160" fillId="45" borderId="11" xfId="8733" applyFont="1" applyFill="1" applyBorder="1" applyAlignment="1">
      <alignment horizontal="right"/>
    </xf>
    <xf numFmtId="1" fontId="15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71" fillId="51" borderId="65" xfId="8733" applyFont="1" applyFill="1" applyBorder="1" applyAlignment="1">
      <alignment horizontal="center"/>
    </xf>
    <xf numFmtId="0" fontId="171" fillId="51" borderId="29" xfId="8733" applyFont="1" applyFill="1" applyBorder="1" applyAlignment="1">
      <alignment horizontal="center"/>
    </xf>
    <xf numFmtId="0" fontId="171" fillId="51" borderId="31" xfId="8733" applyFont="1" applyFill="1" applyBorder="1" applyAlignment="1">
      <alignment horizontal="center"/>
    </xf>
    <xf numFmtId="0" fontId="156" fillId="48" borderId="66" xfId="8733" applyFont="1" applyFill="1" applyBorder="1" applyAlignment="1">
      <alignment horizontal="center"/>
    </xf>
    <xf numFmtId="0" fontId="156" fillId="48" borderId="0" xfId="8733" applyFont="1" applyFill="1" applyAlignment="1">
      <alignment horizontal="center"/>
    </xf>
    <xf numFmtId="0" fontId="156" fillId="48" borderId="41" xfId="8733" applyFont="1" applyFill="1" applyBorder="1" applyAlignment="1">
      <alignment horizontal="center"/>
    </xf>
    <xf numFmtId="0" fontId="166" fillId="45" borderId="11" xfId="8733" applyFont="1" applyFill="1" applyBorder="1" applyAlignment="1">
      <alignment horizontal="right"/>
    </xf>
    <xf numFmtId="14" fontId="159" fillId="48" borderId="11" xfId="8733" applyNumberFormat="1" applyFont="1" applyFill="1" applyBorder="1" applyAlignment="1" applyProtection="1">
      <alignment horizontal="center"/>
      <protection locked="0"/>
    </xf>
    <xf numFmtId="0" fontId="159" fillId="48" borderId="11" xfId="8733" applyFont="1" applyFill="1" applyBorder="1" applyAlignment="1" applyProtection="1">
      <alignment horizontal="center"/>
      <protection locked="0"/>
    </xf>
    <xf numFmtId="0" fontId="92" fillId="45" borderId="80" xfId="8733" applyFont="1" applyFill="1" applyBorder="1" applyAlignment="1">
      <alignment horizontal="center"/>
    </xf>
    <xf numFmtId="0" fontId="92" fillId="45" borderId="79" xfId="8733" applyFont="1" applyFill="1" applyBorder="1" applyAlignment="1">
      <alignment horizontal="center"/>
    </xf>
    <xf numFmtId="0" fontId="92" fillId="45" borderId="78" xfId="8733" applyFont="1" applyFill="1" applyBorder="1" applyAlignment="1">
      <alignment horizontal="center"/>
    </xf>
    <xf numFmtId="0" fontId="159" fillId="48" borderId="80" xfId="8733" applyFont="1" applyFill="1" applyBorder="1" applyAlignment="1" applyProtection="1">
      <alignment horizontal="center"/>
      <protection locked="0"/>
    </xf>
    <xf numFmtId="0" fontId="159" fillId="48" borderId="79" xfId="8733" applyFont="1" applyFill="1" applyBorder="1" applyAlignment="1" applyProtection="1">
      <alignment horizontal="center"/>
      <protection locked="0"/>
    </xf>
    <xf numFmtId="0" fontId="159" fillId="48" borderId="78" xfId="8733" applyFont="1" applyFill="1" applyBorder="1" applyAlignment="1" applyProtection="1">
      <alignment horizontal="center"/>
      <protection locked="0"/>
    </xf>
    <xf numFmtId="0" fontId="16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60" fillId="45" borderId="11" xfId="8733" applyFont="1" applyFill="1" applyBorder="1" applyAlignment="1">
      <alignment horizontal="right" wrapText="1"/>
    </xf>
    <xf numFmtId="14" fontId="159" fillId="48" borderId="11" xfId="8733" applyNumberFormat="1" applyFont="1" applyFill="1" applyBorder="1" applyAlignment="1" applyProtection="1">
      <alignment horizontal="center" vertical="center"/>
      <protection locked="0"/>
    </xf>
    <xf numFmtId="0" fontId="159" fillId="48" borderId="11" xfId="8733" applyFont="1" applyFill="1" applyBorder="1" applyAlignment="1" applyProtection="1">
      <alignment horizontal="center" vertical="center"/>
      <protection locked="0"/>
    </xf>
    <xf numFmtId="169" fontId="164" fillId="44" borderId="11" xfId="8734" applyNumberFormat="1" applyFont="1" applyFill="1" applyBorder="1" applyAlignment="1" applyProtection="1">
      <alignment horizontal="left"/>
    </xf>
    <xf numFmtId="0" fontId="92" fillId="45" borderId="80" xfId="8733" applyFont="1" applyFill="1" applyBorder="1" applyAlignment="1">
      <alignment horizontal="right"/>
    </xf>
    <xf numFmtId="0" fontId="92" fillId="45" borderId="79" xfId="8733" applyFont="1" applyFill="1" applyBorder="1" applyAlignment="1">
      <alignment horizontal="right"/>
    </xf>
    <xf numFmtId="0" fontId="9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56" fillId="45" borderId="93" xfId="8733" applyFont="1" applyFill="1" applyBorder="1" applyAlignment="1">
      <alignment horizontal="center"/>
    </xf>
    <xf numFmtId="0" fontId="156" fillId="45" borderId="92" xfId="8733" applyFont="1" applyFill="1" applyBorder="1" applyAlignment="1">
      <alignment horizontal="center"/>
    </xf>
    <xf numFmtId="0" fontId="156" fillId="45" borderId="91" xfId="8733" applyFont="1" applyFill="1" applyBorder="1" applyAlignment="1">
      <alignment horizontal="center"/>
    </xf>
    <xf numFmtId="0" fontId="163" fillId="45" borderId="97" xfId="8733" applyFont="1" applyFill="1" applyBorder="1" applyAlignment="1">
      <alignment horizontal="center"/>
    </xf>
    <xf numFmtId="0" fontId="163" fillId="45" borderId="2" xfId="8733" applyFont="1" applyFill="1" applyBorder="1" applyAlignment="1">
      <alignment horizontal="center"/>
    </xf>
    <xf numFmtId="0" fontId="163" fillId="45" borderId="7" xfId="8733" applyFont="1" applyFill="1" applyBorder="1" applyAlignment="1">
      <alignment horizontal="center"/>
    </xf>
    <xf numFmtId="0" fontId="163" fillId="45" borderId="3" xfId="8733" applyFont="1" applyFill="1" applyBorder="1" applyAlignment="1">
      <alignment horizontal="center"/>
    </xf>
    <xf numFmtId="0" fontId="163" fillId="45" borderId="4" xfId="8733" applyFont="1" applyFill="1" applyBorder="1" applyAlignment="1">
      <alignment horizontal="center"/>
    </xf>
    <xf numFmtId="0" fontId="163" fillId="45" borderId="5" xfId="8733" applyFont="1" applyFill="1" applyBorder="1" applyAlignment="1">
      <alignment horizontal="center"/>
    </xf>
    <xf numFmtId="0" fontId="163" fillId="45" borderId="81" xfId="8733" applyFont="1" applyFill="1" applyBorder="1" applyAlignment="1">
      <alignment horizontal="center"/>
    </xf>
    <xf numFmtId="9" fontId="162" fillId="48" borderId="90" xfId="8733" applyNumberFormat="1" applyFont="1" applyFill="1" applyBorder="1" applyAlignment="1" applyProtection="1">
      <alignment horizontal="center"/>
      <protection locked="0"/>
    </xf>
    <xf numFmtId="9" fontId="162" fillId="48" borderId="4" xfId="8733" applyNumberFormat="1" applyFont="1" applyFill="1" applyBorder="1" applyAlignment="1" applyProtection="1">
      <alignment horizontal="center"/>
      <protection locked="0"/>
    </xf>
    <xf numFmtId="9" fontId="162" fillId="48" borderId="5" xfId="8733" applyNumberFormat="1" applyFont="1" applyFill="1" applyBorder="1" applyAlignment="1" applyProtection="1">
      <alignment horizontal="center"/>
      <protection locked="0"/>
    </xf>
    <xf numFmtId="0" fontId="162" fillId="44" borderId="3" xfId="8733" applyFont="1" applyFill="1" applyBorder="1" applyAlignment="1">
      <alignment horizontal="center"/>
    </xf>
    <xf numFmtId="0" fontId="162" fillId="44" borderId="4" xfId="8733" applyFont="1" applyFill="1" applyBorder="1" applyAlignment="1">
      <alignment horizontal="center"/>
    </xf>
    <xf numFmtId="0" fontId="162" fillId="44" borderId="5" xfId="8733" applyFont="1" applyFill="1" applyBorder="1" applyAlignment="1">
      <alignment horizontal="center"/>
    </xf>
    <xf numFmtId="9" fontId="163" fillId="44" borderId="3" xfId="8733" applyNumberFormat="1" applyFont="1" applyFill="1" applyBorder="1" applyAlignment="1">
      <alignment horizontal="center"/>
    </xf>
    <xf numFmtId="9" fontId="163" fillId="44" borderId="4" xfId="8733" applyNumberFormat="1" applyFont="1" applyFill="1" applyBorder="1" applyAlignment="1">
      <alignment horizontal="center"/>
    </xf>
    <xf numFmtId="9" fontId="163" fillId="44" borderId="81" xfId="8733" applyNumberFormat="1" applyFont="1" applyFill="1" applyBorder="1" applyAlignment="1">
      <alignment horizontal="center"/>
    </xf>
    <xf numFmtId="0" fontId="162" fillId="48" borderId="3" xfId="8733" applyFont="1" applyFill="1" applyBorder="1" applyAlignment="1" applyProtection="1">
      <alignment horizontal="center"/>
      <protection locked="0"/>
    </xf>
    <xf numFmtId="0" fontId="162" fillId="48" borderId="4" xfId="8733" applyFont="1" applyFill="1" applyBorder="1" applyAlignment="1" applyProtection="1">
      <alignment horizontal="center"/>
      <protection locked="0"/>
    </xf>
    <xf numFmtId="0" fontId="162" fillId="48" borderId="5" xfId="8733" applyFont="1" applyFill="1" applyBorder="1" applyAlignment="1" applyProtection="1">
      <alignment horizontal="center"/>
      <protection locked="0"/>
    </xf>
    <xf numFmtId="0" fontId="163" fillId="44" borderId="87" xfId="8733" applyFont="1" applyFill="1" applyBorder="1" applyAlignment="1">
      <alignment horizontal="center"/>
    </xf>
    <xf numFmtId="0" fontId="163" fillId="44" borderId="86" xfId="8733" applyFont="1" applyFill="1" applyBorder="1" applyAlignment="1">
      <alignment horizontal="center"/>
    </xf>
    <xf numFmtId="0" fontId="163" fillId="44" borderId="95" xfId="8733" applyFont="1" applyFill="1" applyBorder="1" applyAlignment="1">
      <alignment horizontal="center"/>
    </xf>
    <xf numFmtId="0" fontId="162" fillId="44" borderId="94"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9" fontId="163" fillId="44" borderId="94" xfId="8733" applyNumberFormat="1" applyFont="1" applyFill="1" applyBorder="1" applyAlignment="1">
      <alignment horizontal="center"/>
    </xf>
    <xf numFmtId="9" fontId="163" fillId="44" borderId="86" xfId="8733" applyNumberFormat="1" applyFont="1" applyFill="1" applyBorder="1" applyAlignment="1">
      <alignment horizontal="center"/>
    </xf>
    <xf numFmtId="9" fontId="163" fillId="44" borderId="85" xfId="8733" applyNumberFormat="1" applyFont="1" applyFill="1" applyBorder="1" applyAlignment="1">
      <alignment horizontal="center"/>
    </xf>
    <xf numFmtId="0" fontId="163" fillId="44" borderId="101" xfId="8733" applyFont="1" applyFill="1" applyBorder="1" applyAlignment="1">
      <alignment horizontal="center"/>
    </xf>
    <xf numFmtId="0" fontId="163" fillId="44" borderId="42" xfId="8733" applyFont="1" applyFill="1" applyBorder="1" applyAlignment="1">
      <alignment horizontal="center"/>
    </xf>
    <xf numFmtId="0" fontId="163" fillId="44" borderId="96" xfId="8733"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3" applyFont="1" applyFill="1" applyBorder="1" applyAlignment="1">
      <alignment horizontal="center"/>
    </xf>
    <xf numFmtId="0" fontId="156" fillId="45" borderId="79" xfId="8733" applyFont="1" applyFill="1" applyBorder="1" applyAlignment="1">
      <alignment horizontal="center"/>
    </xf>
    <xf numFmtId="0" fontId="156" fillId="45" borderId="78" xfId="8733" applyFont="1" applyFill="1" applyBorder="1" applyAlignment="1">
      <alignment horizontal="center"/>
    </xf>
    <xf numFmtId="0" fontId="155" fillId="45" borderId="98" xfId="8733" applyFont="1" applyFill="1" applyBorder="1" applyAlignment="1">
      <alignment horizontal="center" vertical="center" wrapText="1"/>
    </xf>
    <xf numFmtId="0" fontId="155" fillId="45" borderId="13" xfId="8733" applyFont="1" applyFill="1" applyBorder="1" applyAlignment="1">
      <alignment horizontal="center" vertical="center"/>
    </xf>
    <xf numFmtId="0" fontId="155" fillId="45" borderId="72" xfId="8733" applyFont="1" applyFill="1" applyBorder="1" applyAlignment="1">
      <alignment horizontal="center" vertical="center"/>
    </xf>
    <xf numFmtId="0" fontId="155" fillId="45" borderId="11" xfId="8733" applyFont="1" applyFill="1" applyBorder="1" applyAlignment="1">
      <alignment horizontal="center" vertical="center"/>
    </xf>
    <xf numFmtId="0" fontId="163" fillId="45" borderId="13"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11" xfId="8733" applyFont="1" applyFill="1" applyBorder="1" applyAlignment="1">
      <alignment horizontal="center" vertical="center"/>
    </xf>
    <xf numFmtId="0" fontId="163" fillId="45" borderId="9" xfId="8733" applyFont="1" applyFill="1" applyBorder="1" applyAlignment="1">
      <alignment horizontal="center" vertical="center"/>
    </xf>
    <xf numFmtId="0" fontId="163" fillId="45" borderId="3" xfId="8733" applyFont="1" applyFill="1" applyBorder="1" applyAlignment="1">
      <alignment horizontal="center" vertic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5" fillId="45" borderId="65" xfId="8733" applyFont="1" applyFill="1" applyBorder="1" applyAlignment="1">
      <alignment horizontal="center" vertical="center" wrapText="1"/>
    </xf>
    <xf numFmtId="0" fontId="155" fillId="45" borderId="29" xfId="8733" applyFont="1" applyFill="1" applyBorder="1" applyAlignment="1">
      <alignment horizontal="center" vertical="center" wrapText="1"/>
    </xf>
    <xf numFmtId="0" fontId="155" fillId="45" borderId="31" xfId="8733" applyFont="1" applyFill="1" applyBorder="1" applyAlignment="1">
      <alignment horizontal="center" vertical="center" wrapText="1"/>
    </xf>
    <xf numFmtId="0" fontId="155" fillId="45" borderId="73" xfId="8733" applyFont="1" applyFill="1" applyBorder="1" applyAlignment="1">
      <alignment horizontal="center" vertical="center" wrapText="1"/>
    </xf>
    <xf numFmtId="0" fontId="155" fillId="45" borderId="42" xfId="8733" applyFont="1" applyFill="1" applyBorder="1" applyAlignment="1">
      <alignment horizontal="center" vertical="center" wrapText="1"/>
    </xf>
    <xf numFmtId="0" fontId="155" fillId="45" borderId="44" xfId="8733" applyFont="1" applyFill="1" applyBorder="1" applyAlignment="1">
      <alignment horizontal="center" vertical="center" wrapText="1"/>
    </xf>
    <xf numFmtId="9" fontId="163" fillId="48" borderId="13" xfId="8733" applyNumberFormat="1" applyFont="1" applyFill="1" applyBorder="1" applyAlignment="1" applyProtection="1">
      <alignment horizontal="center"/>
      <protection locked="0"/>
    </xf>
    <xf numFmtId="0" fontId="163" fillId="44" borderId="73" xfId="8733" applyFont="1" applyFill="1" applyBorder="1" applyAlignment="1">
      <alignment horizontal="center"/>
    </xf>
    <xf numFmtId="0" fontId="155" fillId="44" borderId="9" xfId="8733" applyFont="1" applyFill="1" applyBorder="1" applyAlignment="1">
      <alignment horizontal="center"/>
    </xf>
    <xf numFmtId="0" fontId="155" fillId="44" borderId="6" xfId="8733" applyFont="1" applyFill="1" applyBorder="1" applyAlignment="1">
      <alignment horizontal="center"/>
    </xf>
    <xf numFmtId="0" fontId="155" fillId="44" borderId="82" xfId="8733" applyFont="1" applyFill="1" applyBorder="1" applyAlignment="1">
      <alignment horizontal="center"/>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9" fontId="155" fillId="48" borderId="9" xfId="8733" applyNumberFormat="1" applyFont="1" applyFill="1" applyBorder="1" applyAlignment="1" applyProtection="1">
      <alignment horizontal="center"/>
      <protection locked="0"/>
    </xf>
    <xf numFmtId="9" fontId="155" fillId="48" borderId="6" xfId="8733" applyNumberFormat="1" applyFont="1" applyFill="1" applyBorder="1" applyAlignment="1" applyProtection="1">
      <alignment horizontal="center"/>
      <protection locked="0"/>
    </xf>
    <xf numFmtId="9" fontId="155" fillId="48" borderId="10" xfId="8733" applyNumberFormat="1" applyFont="1" applyFill="1" applyBorder="1" applyAlignment="1" applyProtection="1">
      <alignment horizontal="center"/>
      <protection locked="0"/>
    </xf>
    <xf numFmtId="0" fontId="155" fillId="44" borderId="10" xfId="8733" applyFont="1" applyFill="1" applyBorder="1" applyAlignment="1">
      <alignment horizontal="center"/>
    </xf>
    <xf numFmtId="1" fontId="167" fillId="48" borderId="3" xfId="8733" applyNumberFormat="1" applyFont="1" applyFill="1" applyBorder="1" applyAlignment="1" applyProtection="1">
      <alignment horizontal="center"/>
      <protection locked="0"/>
    </xf>
    <xf numFmtId="1" fontId="167" fillId="48" borderId="4" xfId="8733" applyNumberFormat="1" applyFont="1" applyFill="1" applyBorder="1" applyAlignment="1" applyProtection="1">
      <alignment horizontal="center"/>
      <protection locked="0"/>
    </xf>
    <xf numFmtId="1" fontId="167" fillId="48" borderId="5" xfId="8733" applyNumberFormat="1" applyFont="1" applyFill="1" applyBorder="1" applyAlignment="1" applyProtection="1">
      <alignment horizontal="center"/>
      <protection locked="0"/>
    </xf>
    <xf numFmtId="1" fontId="155" fillId="44" borderId="3" xfId="8733" applyNumberFormat="1" applyFont="1" applyFill="1" applyBorder="1" applyAlignment="1">
      <alignment horizontal="center"/>
    </xf>
    <xf numFmtId="1" fontId="155" fillId="44" borderId="4" xfId="8733" applyNumberFormat="1" applyFont="1" applyFill="1" applyBorder="1" applyAlignment="1">
      <alignment horizontal="center"/>
    </xf>
    <xf numFmtId="1" fontId="155" fillId="44" borderId="5" xfId="8733" applyNumberFormat="1" applyFont="1" applyFill="1" applyBorder="1" applyAlignment="1">
      <alignment horizontal="center"/>
    </xf>
    <xf numFmtId="9" fontId="155" fillId="44" borderId="3" xfId="8735" applyFont="1" applyFill="1" applyBorder="1" applyAlignment="1">
      <alignment horizontal="center"/>
    </xf>
    <xf numFmtId="9" fontId="155" fillId="44" borderId="4" xfId="8735" applyFont="1" applyFill="1" applyBorder="1" applyAlignment="1">
      <alignment horizontal="center"/>
    </xf>
    <xf numFmtId="9" fontId="155" fillId="44" borderId="81" xfId="8735" applyFont="1" applyFill="1" applyBorder="1" applyAlignment="1">
      <alignment horizontal="center"/>
    </xf>
    <xf numFmtId="0" fontId="164" fillId="48" borderId="72" xfId="8733" applyFont="1" applyFill="1" applyBorder="1" applyAlignment="1" applyProtection="1">
      <alignment horizontal="right"/>
      <protection locked="0"/>
    </xf>
    <xf numFmtId="0" fontId="164" fillId="48" borderId="11" xfId="8733" applyFont="1" applyFill="1" applyBorder="1" applyAlignment="1" applyProtection="1">
      <alignment horizontal="right"/>
      <protection locked="0"/>
    </xf>
    <xf numFmtId="0" fontId="167" fillId="48" borderId="11" xfId="8733" applyFont="1" applyFill="1" applyBorder="1" applyAlignment="1" applyProtection="1">
      <alignment horizontal="center"/>
      <protection locked="0"/>
    </xf>
    <xf numFmtId="1" fontId="167" fillId="48" borderId="11" xfId="8733" applyNumberFormat="1" applyFont="1" applyFill="1" applyBorder="1" applyAlignment="1" applyProtection="1">
      <alignment horizontal="center"/>
      <protection locked="0"/>
    </xf>
    <xf numFmtId="0" fontId="162" fillId="48" borderId="72" xfId="8733" applyFont="1" applyFill="1" applyBorder="1" applyAlignment="1" applyProtection="1">
      <alignment horizontal="right"/>
      <protection locked="0"/>
    </xf>
    <xf numFmtId="0" fontId="162" fillId="48" borderId="11" xfId="8733" applyFont="1" applyFill="1" applyBorder="1" applyAlignment="1" applyProtection="1">
      <alignment horizontal="right"/>
      <protection locked="0"/>
    </xf>
    <xf numFmtId="0" fontId="162" fillId="48" borderId="69" xfId="8733" applyFont="1" applyFill="1" applyBorder="1" applyAlignment="1" applyProtection="1">
      <alignment horizontal="right"/>
      <protection locked="0"/>
    </xf>
    <xf numFmtId="0" fontId="162" fillId="48" borderId="70" xfId="8733" applyFont="1" applyFill="1" applyBorder="1" applyAlignment="1" applyProtection="1">
      <alignment horizontal="right"/>
      <protection locked="0"/>
    </xf>
    <xf numFmtId="0" fontId="167" fillId="48" borderId="70" xfId="8733" applyFont="1" applyFill="1" applyBorder="1" applyAlignment="1" applyProtection="1">
      <alignment horizontal="center"/>
      <protection locked="0"/>
    </xf>
    <xf numFmtId="1" fontId="167" fillId="48" borderId="70" xfId="8733" applyNumberFormat="1" applyFont="1" applyFill="1" applyBorder="1" applyAlignment="1" applyProtection="1">
      <alignment horizontal="center"/>
      <protection locked="0"/>
    </xf>
    <xf numFmtId="9" fontId="155" fillId="44" borderId="94" xfId="8735" applyFont="1" applyFill="1" applyBorder="1" applyAlignment="1">
      <alignment horizontal="center"/>
    </xf>
    <xf numFmtId="9" fontId="155" fillId="44" borderId="86" xfId="8735" applyFont="1" applyFill="1" applyBorder="1" applyAlignment="1">
      <alignment horizontal="center"/>
    </xf>
    <xf numFmtId="9" fontId="155" fillId="44" borderId="85" xfId="8735" applyFont="1" applyFill="1" applyBorder="1" applyAlignment="1">
      <alignment horizontal="center"/>
    </xf>
    <xf numFmtId="1" fontId="167" fillId="48" borderId="94" xfId="8733" applyNumberFormat="1" applyFont="1" applyFill="1" applyBorder="1" applyAlignment="1" applyProtection="1">
      <alignment horizontal="center"/>
      <protection locked="0"/>
    </xf>
    <xf numFmtId="1" fontId="167" fillId="48" borderId="86" xfId="8733" applyNumberFormat="1" applyFont="1" applyFill="1" applyBorder="1" applyAlignment="1" applyProtection="1">
      <alignment horizontal="center"/>
      <protection locked="0"/>
    </xf>
    <xf numFmtId="1" fontId="167" fillId="48" borderId="95" xfId="8733" applyNumberFormat="1" applyFont="1" applyFill="1" applyBorder="1" applyAlignment="1" applyProtection="1">
      <alignment horizontal="center"/>
      <protection locked="0"/>
    </xf>
    <xf numFmtId="0" fontId="156" fillId="45" borderId="67" xfId="8733" applyFont="1" applyFill="1" applyBorder="1" applyAlignment="1">
      <alignment horizontal="center"/>
    </xf>
    <xf numFmtId="0" fontId="156" fillId="45" borderId="68" xfId="8733" applyFont="1" applyFill="1" applyBorder="1" applyAlignment="1">
      <alignment horizontal="center"/>
    </xf>
    <xf numFmtId="0" fontId="156" fillId="45" borderId="71" xfId="8733" applyFont="1" applyFill="1" applyBorder="1" applyAlignment="1">
      <alignment horizontal="center"/>
    </xf>
    <xf numFmtId="0" fontId="163" fillId="45" borderId="72" xfId="8733" applyFont="1" applyFill="1" applyBorder="1" applyAlignment="1">
      <alignment horizontal="center"/>
    </xf>
    <xf numFmtId="0" fontId="163" fillId="45" borderId="11" xfId="8733" applyFont="1" applyFill="1" applyBorder="1" applyAlignment="1">
      <alignment horizontal="center"/>
    </xf>
    <xf numFmtId="0" fontId="155" fillId="45" borderId="11" xfId="8733" applyFont="1" applyFill="1" applyBorder="1" applyAlignment="1">
      <alignment horizontal="center" vertical="center" wrapText="1"/>
    </xf>
    <xf numFmtId="0" fontId="155" fillId="45" borderId="76" xfId="8733" applyFont="1" applyFill="1" applyBorder="1" applyAlignment="1">
      <alignment horizontal="center" vertical="center" wrapText="1"/>
    </xf>
    <xf numFmtId="0" fontId="162" fillId="48" borderId="11" xfId="8733" applyFont="1" applyFill="1" applyBorder="1" applyAlignment="1" applyProtection="1">
      <alignment horizontal="center"/>
      <protection locked="0"/>
    </xf>
    <xf numFmtId="169" fontId="162" fillId="48" borderId="11" xfId="8734" applyNumberFormat="1" applyFont="1" applyFill="1" applyBorder="1" applyAlignment="1" applyProtection="1">
      <alignment horizontal="center"/>
      <protection locked="0"/>
    </xf>
    <xf numFmtId="1" fontId="162" fillId="48" borderId="11" xfId="8733"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3" applyFont="1" applyFill="1" applyBorder="1" applyAlignment="1">
      <alignment horizontal="center"/>
    </xf>
    <xf numFmtId="0" fontId="156" fillId="45" borderId="29" xfId="8733" applyFont="1" applyFill="1" applyBorder="1" applyAlignment="1">
      <alignment horizontal="center"/>
    </xf>
    <xf numFmtId="0" fontId="156" fillId="45" borderId="31" xfId="8733" applyFont="1" applyFill="1" applyBorder="1" applyAlignment="1">
      <alignment horizontal="center"/>
    </xf>
    <xf numFmtId="0" fontId="162" fillId="44" borderId="72" xfId="8733" applyFont="1" applyFill="1" applyBorder="1" applyAlignment="1" applyProtection="1">
      <alignment horizontal="right"/>
      <protection locked="0"/>
    </xf>
    <xf numFmtId="0" fontId="162" fillId="44" borderId="11" xfId="8733" applyFont="1" applyFill="1" applyBorder="1" applyAlignment="1" applyProtection="1">
      <alignment horizontal="right"/>
      <protection locked="0"/>
    </xf>
    <xf numFmtId="0" fontId="162" fillId="44" borderId="76" xfId="8733" applyFont="1" applyFill="1" applyBorder="1" applyAlignment="1" applyProtection="1">
      <alignment horizontal="right"/>
      <protection locked="0"/>
    </xf>
    <xf numFmtId="0" fontId="162" fillId="48" borderId="5" xfId="8733" applyFont="1" applyFill="1" applyBorder="1" applyAlignment="1" applyProtection="1">
      <alignment horizontal="left"/>
      <protection locked="0"/>
    </xf>
    <xf numFmtId="0" fontId="162" fillId="48" borderId="11" xfId="8733" applyFont="1" applyFill="1" applyBorder="1" applyAlignment="1" applyProtection="1">
      <alignment horizontal="left"/>
      <protection locked="0"/>
    </xf>
    <xf numFmtId="0" fontId="162" fillId="48" borderId="76" xfId="8733" applyFont="1" applyFill="1" applyBorder="1" applyAlignment="1" applyProtection="1">
      <alignment horizontal="left"/>
      <protection locked="0"/>
    </xf>
    <xf numFmtId="0" fontId="163" fillId="45" borderId="69" xfId="8733" applyFont="1" applyFill="1" applyBorder="1" applyAlignment="1">
      <alignment horizontal="center"/>
    </xf>
    <xf numFmtId="0" fontId="163" fillId="45" borderId="70" xfId="8733" applyFont="1" applyFill="1" applyBorder="1" applyAlignment="1">
      <alignment horizontal="center"/>
    </xf>
    <xf numFmtId="169" fontId="163" fillId="45" borderId="70" xfId="8734" applyNumberFormat="1" applyFont="1" applyFill="1" applyBorder="1" applyAlignment="1">
      <alignment horizontal="center"/>
    </xf>
    <xf numFmtId="1" fontId="163" fillId="45" borderId="70" xfId="8734" applyNumberFormat="1" applyFont="1" applyFill="1" applyBorder="1" applyAlignment="1">
      <alignment horizontal="center"/>
    </xf>
    <xf numFmtId="0" fontId="163" fillId="45" borderId="70" xfId="8734" applyNumberFormat="1" applyFont="1" applyFill="1" applyBorder="1" applyAlignment="1">
      <alignment horizontal="center"/>
    </xf>
    <xf numFmtId="0" fontId="163" fillId="45" borderId="77" xfId="8734" applyNumberFormat="1" applyFont="1" applyFill="1" applyBorder="1" applyAlignment="1">
      <alignment horizontal="center"/>
    </xf>
    <xf numFmtId="0" fontId="159" fillId="48" borderId="74" xfId="8733" applyFont="1" applyFill="1" applyBorder="1" applyAlignment="1" applyProtection="1">
      <alignment horizontal="left"/>
      <protection locked="0"/>
    </xf>
    <xf numFmtId="0" fontId="159" fillId="48" borderId="68" xfId="8733" applyFont="1" applyFill="1" applyBorder="1" applyAlignment="1" applyProtection="1">
      <alignment horizontal="left"/>
      <protection locked="0"/>
    </xf>
    <xf numFmtId="0" fontId="159" fillId="48" borderId="71" xfId="8733" applyFont="1" applyFill="1" applyBorder="1" applyAlignment="1" applyProtection="1">
      <alignment horizontal="left"/>
      <protection locked="0"/>
    </xf>
    <xf numFmtId="0" fontId="156" fillId="45" borderId="72" xfId="8733" applyFont="1" applyFill="1" applyBorder="1" applyAlignment="1">
      <alignment horizontal="center"/>
    </xf>
    <xf numFmtId="0" fontId="156" fillId="45" borderId="11" xfId="8733" applyFont="1" applyFill="1" applyBorder="1" applyAlignment="1">
      <alignment horizontal="center"/>
    </xf>
    <xf numFmtId="0" fontId="156" fillId="45" borderId="3" xfId="8733" applyFont="1" applyFill="1" applyBorder="1" applyAlignment="1">
      <alignment horizontal="center"/>
    </xf>
    <xf numFmtId="0" fontId="156" fillId="45" borderId="4" xfId="8733" applyFont="1" applyFill="1" applyBorder="1" applyAlignment="1">
      <alignment horizontal="center"/>
    </xf>
    <xf numFmtId="0" fontId="156" fillId="45" borderId="81" xfId="8733" applyFont="1" applyFill="1" applyBorder="1" applyAlignment="1">
      <alignment horizontal="center"/>
    </xf>
    <xf numFmtId="0" fontId="92" fillId="45" borderId="69" xfId="8733" applyFont="1" applyFill="1" applyBorder="1" applyAlignment="1">
      <alignment horizontal="center"/>
    </xf>
    <xf numFmtId="0" fontId="92" fillId="45" borderId="70" xfId="8733" applyFont="1" applyFill="1" applyBorder="1" applyAlignment="1">
      <alignment horizontal="center"/>
    </xf>
    <xf numFmtId="0" fontId="162" fillId="44" borderId="69" xfId="8733" applyFont="1" applyFill="1" applyBorder="1" applyAlignment="1" applyProtection="1">
      <alignment horizontal="right"/>
      <protection locked="0"/>
    </xf>
    <xf numFmtId="0" fontId="162" fillId="44" borderId="70" xfId="8733" applyFont="1" applyFill="1" applyBorder="1" applyAlignment="1" applyProtection="1">
      <alignment horizontal="right"/>
      <protection locked="0"/>
    </xf>
    <xf numFmtId="0" fontId="162" fillId="44" borderId="77" xfId="8733" applyFont="1" applyFill="1" applyBorder="1" applyAlignment="1" applyProtection="1">
      <alignment horizontal="right"/>
      <protection locked="0"/>
    </xf>
    <xf numFmtId="0" fontId="162" fillId="48" borderId="95" xfId="8733" applyFont="1" applyFill="1" applyBorder="1" applyAlignment="1" applyProtection="1">
      <alignment horizontal="left"/>
      <protection locked="0"/>
    </xf>
    <xf numFmtId="0" fontId="162" fillId="48" borderId="70" xfId="8733" applyFont="1" applyFill="1" applyBorder="1" applyAlignment="1" applyProtection="1">
      <alignment horizontal="left"/>
      <protection locked="0"/>
    </xf>
    <xf numFmtId="0" fontId="162" fillId="48" borderId="77" xfId="8733" applyFont="1" applyFill="1" applyBorder="1" applyAlignment="1" applyProtection="1">
      <alignment horizontal="left"/>
      <protection locked="0"/>
    </xf>
    <xf numFmtId="169" fontId="164" fillId="48" borderId="11" xfId="700" applyNumberFormat="1" applyFont="1" applyFill="1" applyBorder="1" applyAlignment="1" applyProtection="1">
      <alignment horizontal="left"/>
      <protection locked="0"/>
    </xf>
    <xf numFmtId="169" fontId="164" fillId="48" borderId="76" xfId="700" applyNumberFormat="1" applyFont="1" applyFill="1" applyBorder="1" applyAlignment="1" applyProtection="1">
      <alignment horizontal="left"/>
      <protection locked="0"/>
    </xf>
    <xf numFmtId="0" fontId="162" fillId="48" borderId="68" xfId="8733" applyFont="1" applyFill="1" applyBorder="1" applyAlignment="1" applyProtection="1">
      <alignment horizontal="left"/>
      <protection locked="0"/>
    </xf>
    <xf numFmtId="0" fontId="162" fillId="48" borderId="71" xfId="8733" applyFont="1" applyFill="1" applyBorder="1" applyAlignment="1" applyProtection="1">
      <alignment horizontal="left"/>
      <protection locked="0"/>
    </xf>
    <xf numFmtId="0" fontId="156" fillId="45" borderId="69" xfId="8733" applyFont="1" applyFill="1" applyBorder="1" applyAlignment="1">
      <alignment horizontal="center"/>
    </xf>
    <xf numFmtId="0" fontId="156" fillId="45" borderId="70" xfId="8733" applyFont="1" applyFill="1" applyBorder="1" applyAlignment="1">
      <alignment horizontal="center"/>
    </xf>
    <xf numFmtId="0" fontId="92" fillId="45" borderId="67" xfId="8733" applyFont="1" applyFill="1" applyBorder="1" applyAlignment="1">
      <alignment horizontal="center"/>
    </xf>
    <xf numFmtId="0" fontId="9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63" fillId="45" borderId="97" xfId="8733" applyFont="1" applyFill="1" applyBorder="1" applyAlignment="1">
      <alignment horizontal="left"/>
    </xf>
    <xf numFmtId="0" fontId="16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63" fillId="45" borderId="73" xfId="8733" applyFont="1" applyFill="1" applyBorder="1" applyAlignment="1">
      <alignment horizontal="left"/>
    </xf>
    <xf numFmtId="0" fontId="16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92" fillId="45" borderId="67" xfId="8733" applyFont="1" applyFill="1" applyBorder="1" applyAlignment="1">
      <alignment horizontal="center" wrapText="1"/>
    </xf>
    <xf numFmtId="0" fontId="92" fillId="45" borderId="68" xfId="8733" applyFont="1" applyFill="1" applyBorder="1" applyAlignment="1">
      <alignment horizontal="center" wrapText="1"/>
    </xf>
    <xf numFmtId="0" fontId="92" fillId="45" borderId="71" xfId="8733" applyFont="1" applyFill="1" applyBorder="1" applyAlignment="1">
      <alignment horizontal="center" wrapText="1"/>
    </xf>
    <xf numFmtId="0" fontId="156" fillId="45" borderId="98" xfId="8733" applyFont="1" applyFill="1" applyBorder="1" applyAlignment="1">
      <alignment horizontal="center"/>
    </xf>
    <xf numFmtId="0" fontId="156" fillId="45" borderId="13" xfId="8733" applyFont="1" applyFill="1" applyBorder="1" applyAlignment="1">
      <alignment horizontal="center"/>
    </xf>
    <xf numFmtId="0" fontId="162" fillId="48" borderId="72" xfId="8733" applyFont="1" applyFill="1" applyBorder="1" applyAlignment="1" applyProtection="1">
      <alignment horizontal="left" vertical="top"/>
      <protection locked="0"/>
    </xf>
    <xf numFmtId="0" fontId="162" fillId="48" borderId="11" xfId="8733" applyFont="1" applyFill="1" applyBorder="1" applyAlignment="1" applyProtection="1">
      <alignment horizontal="left" vertical="top"/>
      <protection locked="0"/>
    </xf>
    <xf numFmtId="0" fontId="162" fillId="48" borderId="76" xfId="8733" applyFont="1" applyFill="1" applyBorder="1" applyAlignment="1" applyProtection="1">
      <alignment horizontal="left" vertical="top"/>
      <protection locked="0"/>
    </xf>
    <xf numFmtId="0" fontId="162" fillId="48" borderId="69" xfId="8733" applyFont="1" applyFill="1" applyBorder="1" applyAlignment="1" applyProtection="1">
      <alignment horizontal="left" vertical="top"/>
      <protection locked="0"/>
    </xf>
    <xf numFmtId="0" fontId="162" fillId="48" borderId="70" xfId="8733" applyFont="1" applyFill="1" applyBorder="1" applyAlignment="1" applyProtection="1">
      <alignment horizontal="left" vertical="top"/>
      <protection locked="0"/>
    </xf>
    <xf numFmtId="0" fontId="162" fillId="48" borderId="77" xfId="8733" applyFont="1" applyFill="1" applyBorder="1" applyAlignment="1" applyProtection="1">
      <alignment horizontal="left" vertical="top"/>
      <protection locked="0"/>
    </xf>
    <xf numFmtId="0" fontId="162" fillId="48" borderId="72" xfId="8733" applyFont="1" applyFill="1" applyBorder="1" applyAlignment="1" applyProtection="1">
      <alignment horizontal="center"/>
      <protection locked="0"/>
    </xf>
    <xf numFmtId="0" fontId="156" fillId="45" borderId="89" xfId="8733" applyFont="1" applyFill="1" applyBorder="1" applyAlignment="1">
      <alignment horizontal="right"/>
    </xf>
    <xf numFmtId="0" fontId="156" fillId="45" borderId="43" xfId="8733" applyFont="1" applyFill="1" applyBorder="1" applyAlignment="1">
      <alignment horizontal="right"/>
    </xf>
    <xf numFmtId="169" fontId="156" fillId="45" borderId="43" xfId="8733" applyNumberFormat="1" applyFont="1" applyFill="1" applyBorder="1" applyAlignment="1">
      <alignment horizontal="left"/>
    </xf>
    <xf numFmtId="169" fontId="15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92" fillId="45" borderId="67" xfId="8733" applyFont="1" applyFill="1" applyBorder="1" applyAlignment="1">
      <alignment horizontal="left" wrapText="1"/>
    </xf>
    <xf numFmtId="0" fontId="92" fillId="45" borderId="68" xfId="8733" applyFont="1" applyFill="1" applyBorder="1" applyAlignment="1">
      <alignment horizontal="left" wrapText="1"/>
    </xf>
    <xf numFmtId="0" fontId="92" fillId="45" borderId="72" xfId="8733" applyFont="1" applyFill="1" applyBorder="1" applyAlignment="1">
      <alignment horizontal="left" wrapText="1"/>
    </xf>
    <xf numFmtId="0" fontId="92" fillId="45" borderId="11" xfId="8733" applyFont="1" applyFill="1" applyBorder="1" applyAlignment="1">
      <alignment horizontal="left" wrapText="1"/>
    </xf>
    <xf numFmtId="0" fontId="159" fillId="48" borderId="68" xfId="8733" applyFont="1" applyFill="1" applyBorder="1" applyAlignment="1" applyProtection="1">
      <alignment horizontal="left" wrapText="1"/>
      <protection locked="0"/>
    </xf>
    <xf numFmtId="0" fontId="159" fillId="48" borderId="71" xfId="8733" applyFont="1" applyFill="1" applyBorder="1" applyAlignment="1" applyProtection="1">
      <alignment horizontal="left" wrapText="1"/>
      <protection locked="0"/>
    </xf>
    <xf numFmtId="0" fontId="159" fillId="48" borderId="11" xfId="8733" applyFont="1" applyFill="1" applyBorder="1" applyAlignment="1" applyProtection="1">
      <alignment horizontal="left" wrapText="1"/>
      <protection locked="0"/>
    </xf>
    <xf numFmtId="0" fontId="159" fillId="48" borderId="76" xfId="8733" applyFont="1" applyFill="1" applyBorder="1" applyAlignment="1" applyProtection="1">
      <alignment horizontal="left" wrapText="1"/>
      <protection locked="0"/>
    </xf>
    <xf numFmtId="0" fontId="163" fillId="45" borderId="11" xfId="8733" applyFont="1" applyFill="1" applyBorder="1" applyAlignment="1">
      <alignment horizontal="center" wrapText="1"/>
    </xf>
    <xf numFmtId="0" fontId="155" fillId="45" borderId="11" xfId="8733" applyFont="1" applyFill="1" applyBorder="1" applyAlignment="1">
      <alignment horizontal="center"/>
    </xf>
    <xf numFmtId="0" fontId="155" fillId="45" borderId="76" xfId="8733" applyFont="1" applyFill="1" applyBorder="1" applyAlignment="1">
      <alignment horizontal="center"/>
    </xf>
    <xf numFmtId="0" fontId="163" fillId="45" borderId="7" xfId="8733" applyFont="1" applyFill="1" applyBorder="1" applyAlignment="1">
      <alignment horizontal="left"/>
    </xf>
    <xf numFmtId="0" fontId="16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59" fillId="48" borderId="3" xfId="8733" applyFont="1" applyFill="1" applyBorder="1" applyAlignment="1" applyProtection="1">
      <alignment horizontal="center"/>
      <protection locked="0"/>
    </xf>
    <xf numFmtId="0" fontId="159" fillId="48" borderId="4" xfId="8733" applyFont="1" applyFill="1" applyBorder="1" applyAlignment="1" applyProtection="1">
      <alignment horizontal="center"/>
      <protection locked="0"/>
    </xf>
    <xf numFmtId="0" fontId="159" fillId="48" borderId="81" xfId="8733" applyFont="1" applyFill="1" applyBorder="1" applyAlignment="1" applyProtection="1">
      <alignment horizontal="center"/>
      <protection locked="0"/>
    </xf>
    <xf numFmtId="0" fontId="92" fillId="45" borderId="71" xfId="8733" applyFont="1" applyFill="1" applyBorder="1" applyAlignment="1">
      <alignment horizontal="center"/>
    </xf>
    <xf numFmtId="0" fontId="159" fillId="48" borderId="3" xfId="8733" applyFont="1" applyFill="1" applyBorder="1" applyAlignment="1">
      <alignment horizontal="center"/>
    </xf>
    <xf numFmtId="0" fontId="159" fillId="48" borderId="4" xfId="8733" applyFont="1" applyFill="1" applyBorder="1" applyAlignment="1">
      <alignment horizontal="center"/>
    </xf>
    <xf numFmtId="0" fontId="159" fillId="48" borderId="81" xfId="8733" applyFont="1" applyFill="1" applyBorder="1" applyAlignment="1">
      <alignment horizontal="center"/>
    </xf>
    <xf numFmtId="0" fontId="169" fillId="45" borderId="11" xfId="8733" applyFont="1" applyFill="1" applyBorder="1" applyAlignment="1">
      <alignment horizontal="left"/>
    </xf>
    <xf numFmtId="0" fontId="169" fillId="45" borderId="76" xfId="8733" applyFont="1" applyFill="1" applyBorder="1" applyAlignment="1">
      <alignment horizontal="left"/>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66" fillId="45" borderId="69" xfId="8733" applyFont="1" applyFill="1" applyBorder="1" applyAlignment="1">
      <alignment horizontal="left"/>
    </xf>
    <xf numFmtId="0" fontId="16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92" fillId="45" borderId="67" xfId="8733" applyFont="1" applyFill="1" applyBorder="1" applyAlignment="1" applyProtection="1">
      <alignment horizontal="left" vertical="center" wrapText="1"/>
      <protection locked="0"/>
    </xf>
    <xf numFmtId="0" fontId="92" fillId="45" borderId="68" xfId="8733" applyFont="1" applyFill="1" applyBorder="1" applyAlignment="1" applyProtection="1">
      <alignment horizontal="left" vertical="center" wrapText="1"/>
      <protection locked="0"/>
    </xf>
    <xf numFmtId="0" fontId="92" fillId="45" borderId="72" xfId="8733" applyFont="1" applyFill="1" applyBorder="1" applyAlignment="1" applyProtection="1">
      <alignment horizontal="left" vertical="center" wrapText="1"/>
      <protection locked="0"/>
    </xf>
    <xf numFmtId="0" fontId="92" fillId="45" borderId="11" xfId="8733" applyFont="1" applyFill="1" applyBorder="1" applyAlignment="1" applyProtection="1">
      <alignment horizontal="left" vertical="center" wrapText="1"/>
      <protection locked="0"/>
    </xf>
    <xf numFmtId="0" fontId="159" fillId="48" borderId="68" xfId="8733" applyFont="1" applyFill="1" applyBorder="1" applyAlignment="1" applyProtection="1">
      <alignment horizontal="left" vertical="center" wrapText="1"/>
      <protection locked="0"/>
    </xf>
    <xf numFmtId="0" fontId="159" fillId="48" borderId="71" xfId="8733" applyFont="1" applyFill="1" applyBorder="1" applyAlignment="1" applyProtection="1">
      <alignment horizontal="left" vertical="center" wrapText="1"/>
      <protection locked="0"/>
    </xf>
    <xf numFmtId="0" fontId="159" fillId="48" borderId="11" xfId="8733" applyFont="1" applyFill="1" applyBorder="1" applyAlignment="1" applyProtection="1">
      <alignment horizontal="left" vertical="center" wrapText="1"/>
      <protection locked="0"/>
    </xf>
    <xf numFmtId="0" fontId="159" fillId="48" borderId="76" xfId="8733" applyFont="1" applyFill="1" applyBorder="1" applyAlignment="1" applyProtection="1">
      <alignment horizontal="left" vertical="center" wrapText="1"/>
      <protection locked="0"/>
    </xf>
    <xf numFmtId="0" fontId="162" fillId="48" borderId="72" xfId="8733" applyFont="1" applyFill="1" applyBorder="1" applyAlignment="1" applyProtection="1">
      <alignment horizontal="left" vertical="top" wrapText="1"/>
      <protection locked="0"/>
    </xf>
    <xf numFmtId="0" fontId="162" fillId="48" borderId="11" xfId="8733" applyFont="1" applyFill="1" applyBorder="1" applyAlignment="1" applyProtection="1">
      <alignment horizontal="left" vertical="top" wrapText="1"/>
      <protection locked="0"/>
    </xf>
    <xf numFmtId="0" fontId="162" fillId="48" borderId="69" xfId="8733" applyFont="1" applyFill="1" applyBorder="1" applyAlignment="1" applyProtection="1">
      <alignment horizontal="left" vertical="top" wrapText="1"/>
      <protection locked="0"/>
    </xf>
    <xf numFmtId="0" fontId="162" fillId="48" borderId="70" xfId="8733" applyFont="1" applyFill="1" applyBorder="1" applyAlignment="1" applyProtection="1">
      <alignment horizontal="left" vertical="top" wrapText="1"/>
      <protection locked="0"/>
    </xf>
    <xf numFmtId="0" fontId="159" fillId="48" borderId="11" xfId="8733" applyFont="1" applyFill="1" applyBorder="1" applyAlignment="1" applyProtection="1">
      <alignment horizontal="center" vertical="center" wrapText="1"/>
      <protection locked="0"/>
    </xf>
    <xf numFmtId="0" fontId="159" fillId="48" borderId="76" xfId="8733" applyFont="1" applyFill="1" applyBorder="1" applyAlignment="1" applyProtection="1">
      <alignment horizontal="center" vertical="center" wrapText="1"/>
      <protection locked="0"/>
    </xf>
    <xf numFmtId="0" fontId="159" fillId="48" borderId="70" xfId="8733" applyFont="1" applyFill="1" applyBorder="1" applyAlignment="1" applyProtection="1">
      <alignment horizontal="center" vertical="center" wrapText="1"/>
      <protection locked="0"/>
    </xf>
    <xf numFmtId="0" fontId="159" fillId="48" borderId="77" xfId="8733" applyFont="1" applyFill="1" applyBorder="1" applyAlignment="1" applyProtection="1">
      <alignment horizontal="center" vertical="center" wrapText="1"/>
      <protection locked="0"/>
    </xf>
    <xf numFmtId="0" fontId="92" fillId="45" borderId="71" xfId="8733" applyFont="1" applyFill="1" applyBorder="1" applyAlignment="1">
      <alignment horizontal="left" wrapText="1"/>
    </xf>
    <xf numFmtId="0" fontId="92" fillId="45" borderId="76" xfId="8733" applyFont="1" applyFill="1" applyBorder="1" applyAlignment="1">
      <alignment horizontal="left" wrapText="1"/>
    </xf>
    <xf numFmtId="0" fontId="92" fillId="45" borderId="65" xfId="8733" applyFont="1" applyFill="1" applyBorder="1" applyAlignment="1">
      <alignment horizontal="center"/>
    </xf>
    <xf numFmtId="0" fontId="92" fillId="45" borderId="29" xfId="8733" applyFont="1" applyFill="1" applyBorder="1" applyAlignment="1">
      <alignment horizontal="center"/>
    </xf>
    <xf numFmtId="0" fontId="92" fillId="45" borderId="31" xfId="8733" applyFont="1" applyFill="1" applyBorder="1" applyAlignment="1">
      <alignment horizontal="center"/>
    </xf>
    <xf numFmtId="0" fontId="155" fillId="48" borderId="90" xfId="8733" applyFont="1" applyFill="1" applyBorder="1" applyAlignment="1">
      <alignment horizontal="left"/>
    </xf>
    <xf numFmtId="0" fontId="155" fillId="48" borderId="4" xfId="8733" applyFont="1" applyFill="1" applyBorder="1" applyAlignment="1">
      <alignment horizontal="left"/>
    </xf>
    <xf numFmtId="0" fontId="155" fillId="48" borderId="5" xfId="8733" applyFont="1" applyFill="1" applyBorder="1" applyAlignment="1">
      <alignment horizontal="left"/>
    </xf>
    <xf numFmtId="0" fontId="155" fillId="45" borderId="72" xfId="8733" applyFont="1" applyFill="1" applyBorder="1" applyAlignment="1">
      <alignment horizontal="left"/>
    </xf>
    <xf numFmtId="0" fontId="155" fillId="45" borderId="11" xfId="8733" applyFont="1" applyFill="1" applyBorder="1" applyAlignment="1">
      <alignment horizontal="left"/>
    </xf>
    <xf numFmtId="0" fontId="167" fillId="48" borderId="11" xfId="8733" applyFont="1" applyFill="1" applyBorder="1" applyAlignment="1" applyProtection="1">
      <alignment horizontal="left"/>
      <protection locked="0"/>
    </xf>
    <xf numFmtId="0" fontId="167" fillId="48" borderId="76" xfId="8733" applyFont="1" applyFill="1" applyBorder="1" applyAlignment="1" applyProtection="1">
      <alignment horizontal="left"/>
      <protection locked="0"/>
    </xf>
    <xf numFmtId="0" fontId="164" fillId="48" borderId="72" xfId="8733" applyFont="1" applyFill="1" applyBorder="1" applyAlignment="1" applyProtection="1">
      <alignment horizontal="left" vertical="top"/>
      <protection locked="0"/>
    </xf>
    <xf numFmtId="0" fontId="164" fillId="48" borderId="11" xfId="8733" applyFont="1" applyFill="1" applyBorder="1" applyAlignment="1" applyProtection="1">
      <alignment horizontal="left" vertical="top"/>
      <protection locked="0"/>
    </xf>
    <xf numFmtId="0" fontId="164" fillId="48" borderId="76" xfId="8733" applyFont="1" applyFill="1" applyBorder="1" applyAlignment="1" applyProtection="1">
      <alignment horizontal="left" vertical="top"/>
      <protection locked="0"/>
    </xf>
    <xf numFmtId="0" fontId="164" fillId="48" borderId="69" xfId="8733" applyFont="1" applyFill="1" applyBorder="1" applyAlignment="1" applyProtection="1">
      <alignment horizontal="left" vertical="top"/>
      <protection locked="0"/>
    </xf>
    <xf numFmtId="0" fontId="164" fillId="48" borderId="70" xfId="8733" applyFont="1" applyFill="1" applyBorder="1" applyAlignment="1" applyProtection="1">
      <alignment horizontal="left" vertical="top"/>
      <protection locked="0"/>
    </xf>
    <xf numFmtId="0" fontId="164" fillId="48" borderId="77" xfId="8733" applyFont="1" applyFill="1" applyBorder="1" applyAlignment="1" applyProtection="1">
      <alignment horizontal="left" vertical="top"/>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92" fillId="45" borderId="72" xfId="8733" applyFont="1" applyFill="1" applyBorder="1" applyAlignment="1">
      <alignment horizontal="center"/>
    </xf>
    <xf numFmtId="0" fontId="92" fillId="45" borderId="11" xfId="8733" applyFont="1" applyFill="1" applyBorder="1" applyAlignment="1">
      <alignment horizontal="center"/>
    </xf>
    <xf numFmtId="0" fontId="155" fillId="45" borderId="11" xfId="8733" applyFont="1" applyFill="1" applyBorder="1" applyAlignment="1">
      <alignment horizontal="center" wrapText="1"/>
    </xf>
    <xf numFmtId="0" fontId="155" fillId="45" borderId="76" xfId="8733" applyFont="1" applyFill="1" applyBorder="1" applyAlignment="1">
      <alignment horizontal="center" wrapText="1"/>
    </xf>
    <xf numFmtId="0" fontId="161" fillId="45" borderId="72" xfId="8733" applyFont="1" applyFill="1" applyBorder="1" applyAlignment="1">
      <alignment horizontal="center"/>
    </xf>
    <xf numFmtId="0" fontId="161" fillId="45" borderId="11" xfId="8733" applyFont="1" applyFill="1" applyBorder="1" applyAlignment="1">
      <alignment horizontal="center"/>
    </xf>
    <xf numFmtId="0" fontId="164" fillId="48" borderId="11" xfId="8733" applyFont="1" applyFill="1" applyBorder="1" applyAlignment="1" applyProtection="1">
      <alignment horizontal="center"/>
      <protection locked="0"/>
    </xf>
    <xf numFmtId="14" fontId="162" fillId="48" borderId="11" xfId="8733" applyNumberFormat="1" applyFont="1" applyFill="1" applyBorder="1" applyAlignment="1" applyProtection="1">
      <alignment horizontal="center"/>
      <protection locked="0"/>
    </xf>
    <xf numFmtId="14" fontId="164" fillId="48" borderId="11" xfId="8733" applyNumberFormat="1" applyFont="1" applyFill="1" applyBorder="1" applyAlignment="1" applyProtection="1">
      <alignment horizontal="center"/>
      <protection locked="0"/>
    </xf>
    <xf numFmtId="0" fontId="92" fillId="45" borderId="76" xfId="8733" applyFont="1" applyFill="1" applyBorder="1" applyAlignment="1">
      <alignment horizontal="center"/>
    </xf>
    <xf numFmtId="169" fontId="164" fillId="48" borderId="11" xfId="8734" applyNumberFormat="1" applyFont="1" applyFill="1" applyBorder="1" applyAlignment="1" applyProtection="1">
      <alignment horizontal="center"/>
      <protection locked="0"/>
    </xf>
    <xf numFmtId="169" fontId="164" fillId="48" borderId="76" xfId="8734" applyNumberFormat="1" applyFont="1" applyFill="1" applyBorder="1" applyAlignment="1" applyProtection="1">
      <alignment horizontal="center"/>
      <protection locked="0"/>
    </xf>
    <xf numFmtId="0" fontId="165" fillId="48" borderId="11" xfId="8733" applyFont="1" applyFill="1" applyBorder="1" applyAlignment="1" applyProtection="1">
      <alignment horizontal="left"/>
      <protection locked="0"/>
    </xf>
    <xf numFmtId="0" fontId="161" fillId="45" borderId="69" xfId="8733" applyFont="1" applyFill="1" applyBorder="1" applyAlignment="1">
      <alignment horizontal="center"/>
    </xf>
    <xf numFmtId="0" fontId="161" fillId="45" borderId="70" xfId="8733" applyFont="1" applyFill="1" applyBorder="1" applyAlignment="1">
      <alignment horizontal="center"/>
    </xf>
    <xf numFmtId="0" fontId="165" fillId="48" borderId="70" xfId="8733" applyFont="1" applyFill="1" applyBorder="1" applyAlignment="1" applyProtection="1">
      <alignment horizontal="left"/>
      <protection locked="0"/>
    </xf>
    <xf numFmtId="0" fontId="164" fillId="48" borderId="70" xfId="8733" applyFont="1" applyFill="1" applyBorder="1" applyAlignment="1" applyProtection="1">
      <alignment horizontal="center"/>
      <protection locked="0"/>
    </xf>
    <xf numFmtId="14" fontId="164" fillId="48" borderId="70" xfId="8733" applyNumberFormat="1" applyFont="1" applyFill="1" applyBorder="1" applyAlignment="1" applyProtection="1">
      <alignment horizontal="center"/>
      <protection locked="0"/>
    </xf>
    <xf numFmtId="169" fontId="164" fillId="48" borderId="70" xfId="8734" applyNumberFormat="1" applyFont="1" applyFill="1" applyBorder="1" applyAlignment="1" applyProtection="1">
      <alignment horizontal="center"/>
      <protection locked="0"/>
    </xf>
    <xf numFmtId="169" fontId="164" fillId="48" borderId="77" xfId="8734" applyNumberFormat="1" applyFont="1" applyFill="1" applyBorder="1" applyAlignment="1" applyProtection="1">
      <alignment horizontal="center"/>
      <protection locked="0"/>
    </xf>
    <xf numFmtId="0" fontId="156" fillId="45" borderId="67" xfId="8733" applyFont="1" applyFill="1" applyBorder="1" applyAlignment="1">
      <alignment horizontal="left"/>
    </xf>
    <xf numFmtId="0" fontId="156" fillId="45" borderId="68" xfId="8733" applyFont="1" applyFill="1" applyBorder="1" applyAlignment="1">
      <alignment horizontal="left"/>
    </xf>
    <xf numFmtId="0" fontId="156" fillId="45" borderId="71" xfId="8733" applyFont="1" applyFill="1" applyBorder="1" applyAlignment="1">
      <alignment horizontal="left"/>
    </xf>
    <xf numFmtId="14" fontId="162" fillId="48" borderId="76" xfId="8733" applyNumberFormat="1" applyFont="1" applyFill="1" applyBorder="1" applyAlignment="1" applyProtection="1">
      <alignment horizontal="center"/>
      <protection locked="0"/>
    </xf>
    <xf numFmtId="0" fontId="162" fillId="48" borderId="69" xfId="8733" applyFont="1" applyFill="1" applyBorder="1" applyAlignment="1" applyProtection="1">
      <alignment horizontal="center"/>
      <protection locked="0"/>
    </xf>
    <xf numFmtId="0" fontId="162" fillId="48" borderId="70" xfId="8733" applyFont="1" applyFill="1" applyBorder="1" applyAlignment="1" applyProtection="1">
      <alignment horizontal="center"/>
      <protection locked="0"/>
    </xf>
    <xf numFmtId="14" fontId="162" fillId="48" borderId="70" xfId="8733" applyNumberFormat="1" applyFont="1" applyFill="1" applyBorder="1" applyAlignment="1" applyProtection="1">
      <alignment horizontal="center"/>
      <protection locked="0"/>
    </xf>
    <xf numFmtId="14" fontId="162" fillId="48" borderId="77" xfId="8733" applyNumberFormat="1" applyFont="1" applyFill="1" applyBorder="1" applyAlignment="1" applyProtection="1">
      <alignment horizontal="center"/>
      <protection locked="0"/>
    </xf>
    <xf numFmtId="0" fontId="162" fillId="45" borderId="72" xfId="8733" applyFont="1" applyFill="1" applyBorder="1" applyAlignment="1">
      <alignment horizontal="right"/>
    </xf>
    <xf numFmtId="0" fontId="162" fillId="45" borderId="11" xfId="8733" applyFont="1" applyFill="1" applyBorder="1" applyAlignment="1">
      <alignment horizontal="right"/>
    </xf>
    <xf numFmtId="169" fontId="164" fillId="44" borderId="11" xfId="700" applyNumberFormat="1" applyFont="1" applyFill="1" applyBorder="1" applyAlignment="1">
      <alignment horizontal="left"/>
    </xf>
    <xf numFmtId="0" fontId="92" fillId="45" borderId="65" xfId="8733" applyFont="1" applyFill="1" applyBorder="1" applyAlignment="1">
      <alignment horizontal="left" wrapText="1"/>
    </xf>
    <xf numFmtId="0" fontId="92" fillId="45" borderId="29" xfId="8733" applyFont="1" applyFill="1" applyBorder="1" applyAlignment="1">
      <alignment horizontal="left" wrapText="1"/>
    </xf>
    <xf numFmtId="0" fontId="92" fillId="45" borderId="31" xfId="8733" applyFont="1" applyFill="1" applyBorder="1" applyAlignment="1">
      <alignment horizontal="left" wrapText="1"/>
    </xf>
    <xf numFmtId="0" fontId="92" fillId="45" borderId="73" xfId="8733" applyFont="1" applyFill="1" applyBorder="1" applyAlignment="1">
      <alignment horizontal="left" wrapText="1"/>
    </xf>
    <xf numFmtId="0" fontId="92" fillId="45" borderId="42" xfId="8733" applyFont="1" applyFill="1" applyBorder="1" applyAlignment="1">
      <alignment horizontal="left" wrapText="1"/>
    </xf>
    <xf numFmtId="0" fontId="92" fillId="45" borderId="44" xfId="8733" applyFont="1" applyFill="1" applyBorder="1" applyAlignment="1">
      <alignment horizontal="left" wrapText="1"/>
    </xf>
    <xf numFmtId="169"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2" fillId="47" borderId="0" xfId="8733" applyFont="1" applyFill="1" applyAlignment="1">
      <alignment horizontal="center"/>
    </xf>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164" fillId="45" borderId="72" xfId="8733" applyFont="1" applyFill="1" applyBorder="1" applyAlignment="1">
      <alignment horizontal="right"/>
    </xf>
    <xf numFmtId="0" fontId="164" fillId="45" borderId="11" xfId="8733" applyFont="1" applyFill="1" applyBorder="1" applyAlignment="1">
      <alignment horizontal="right"/>
    </xf>
    <xf numFmtId="169" fontId="16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3" applyFont="1" applyFill="1" applyBorder="1" applyAlignment="1">
      <alignment horizontal="center"/>
    </xf>
    <xf numFmtId="0" fontId="162" fillId="48" borderId="6" xfId="8733" applyFont="1" applyFill="1" applyBorder="1" applyAlignment="1">
      <alignment horizontal="center"/>
    </xf>
    <xf numFmtId="0" fontId="162" fillId="48" borderId="82" xfId="8733" applyFont="1" applyFill="1" applyBorder="1" applyAlignment="1">
      <alignment horizontal="center"/>
    </xf>
    <xf numFmtId="0" fontId="16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64" fillId="48" borderId="72" xfId="8733"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3" applyFont="1" applyFill="1" applyBorder="1" applyAlignment="1">
      <alignment horizontal="right"/>
    </xf>
    <xf numFmtId="0" fontId="164" fillId="45" borderId="68" xfId="8733" applyFont="1" applyFill="1" applyBorder="1" applyAlignment="1">
      <alignment horizontal="right"/>
    </xf>
    <xf numFmtId="169" fontId="159" fillId="44" borderId="68" xfId="700" applyNumberFormat="1" applyFont="1" applyFill="1" applyBorder="1" applyAlignment="1">
      <alignment horizontal="left"/>
    </xf>
    <xf numFmtId="169" fontId="159" fillId="44" borderId="71" xfId="700" applyNumberFormat="1" applyFont="1" applyFill="1" applyBorder="1" applyAlignment="1">
      <alignment horizontal="left"/>
    </xf>
    <xf numFmtId="0" fontId="161" fillId="48" borderId="66" xfId="8733" applyFont="1" applyFill="1" applyBorder="1" applyAlignment="1">
      <alignment horizontal="left" wrapText="1"/>
    </xf>
    <xf numFmtId="0" fontId="161" fillId="48" borderId="0" xfId="8733" applyFont="1" applyFill="1" applyAlignment="1">
      <alignment horizontal="left" wrapText="1"/>
    </xf>
    <xf numFmtId="0" fontId="161" fillId="48" borderId="41" xfId="8733" applyFont="1" applyFill="1" applyBorder="1" applyAlignment="1">
      <alignment horizontal="left" wrapText="1"/>
    </xf>
    <xf numFmtId="0" fontId="161" fillId="48" borderId="73" xfId="8733" applyFont="1" applyFill="1" applyBorder="1" applyAlignment="1">
      <alignment horizontal="left" wrapText="1"/>
    </xf>
    <xf numFmtId="0" fontId="161" fillId="48" borderId="42" xfId="8733" applyFont="1" applyFill="1" applyBorder="1" applyAlignment="1">
      <alignment horizontal="left" wrapText="1"/>
    </xf>
    <xf numFmtId="0" fontId="161" fillId="48" borderId="44" xfId="8733" applyFont="1" applyFill="1" applyBorder="1" applyAlignment="1">
      <alignment horizontal="left" wrapText="1"/>
    </xf>
    <xf numFmtId="0" fontId="163" fillId="45" borderId="69" xfId="8733" applyFont="1" applyFill="1" applyBorder="1" applyAlignment="1">
      <alignment horizontal="right"/>
    </xf>
    <xf numFmtId="0" fontId="163" fillId="45" borderId="70" xfId="8733" applyFont="1" applyFill="1" applyBorder="1" applyAlignment="1">
      <alignment horizontal="right"/>
    </xf>
    <xf numFmtId="0" fontId="155" fillId="44" borderId="70" xfId="700" applyNumberFormat="1" applyFont="1" applyFill="1" applyBorder="1" applyAlignment="1">
      <alignment horizontal="left"/>
    </xf>
    <xf numFmtId="169" fontId="155" fillId="44" borderId="70" xfId="700" applyNumberFormat="1" applyFont="1" applyFill="1" applyBorder="1" applyAlignment="1">
      <alignment horizontal="left"/>
    </xf>
    <xf numFmtId="169" fontId="155" fillId="44" borderId="77" xfId="700" applyNumberFormat="1" applyFont="1" applyFill="1" applyBorder="1" applyAlignment="1">
      <alignment horizontal="left"/>
    </xf>
    <xf numFmtId="0" fontId="156" fillId="47" borderId="0" xfId="8733" applyFont="1" applyFill="1" applyAlignment="1">
      <alignment horizontal="right"/>
    </xf>
    <xf numFmtId="169" fontId="160" fillId="47" borderId="0"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center"/>
      <protection locked="0"/>
    </xf>
    <xf numFmtId="0" fontId="162" fillId="48" borderId="86" xfId="8733" applyFont="1" applyFill="1" applyBorder="1" applyAlignment="1" applyProtection="1">
      <alignment horizontal="center"/>
      <protection locked="0"/>
    </xf>
    <xf numFmtId="0" fontId="164" fillId="48" borderId="70" xfId="8733" applyFont="1" applyFill="1" applyBorder="1" applyAlignment="1" applyProtection="1">
      <alignment horizontal="left"/>
      <protection locked="0"/>
    </xf>
    <xf numFmtId="0" fontId="164" fillId="48" borderId="77" xfId="8733" applyFont="1" applyFill="1" applyBorder="1" applyAlignment="1" applyProtection="1">
      <alignment horizontal="left"/>
      <protection locked="0"/>
    </xf>
    <xf numFmtId="169" fontId="162" fillId="48" borderId="86" xfId="700" applyNumberFormat="1" applyFont="1" applyFill="1" applyBorder="1" applyAlignment="1" applyProtection="1">
      <alignment horizontal="left"/>
      <protection locked="0"/>
    </xf>
    <xf numFmtId="169" fontId="162" fillId="48" borderId="85"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left"/>
      <protection locked="0"/>
    </xf>
    <xf numFmtId="0" fontId="162" fillId="48" borderId="86" xfId="8733" applyFont="1" applyFill="1" applyBorder="1" applyAlignment="1" applyProtection="1">
      <alignment horizontal="left"/>
      <protection locked="0"/>
    </xf>
    <xf numFmtId="0" fontId="162" fillId="48" borderId="85" xfId="8733" applyFont="1" applyFill="1" applyBorder="1" applyAlignment="1" applyProtection="1">
      <alignment horizontal="left"/>
      <protection locked="0"/>
    </xf>
    <xf numFmtId="0" fontId="92" fillId="48" borderId="80" xfId="8733" applyFont="1" applyFill="1" applyBorder="1" applyAlignment="1">
      <alignment horizontal="left"/>
    </xf>
    <xf numFmtId="0" fontId="92"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3" applyFont="1" applyFill="1" applyBorder="1" applyAlignment="1">
      <alignment horizontal="left"/>
    </xf>
    <xf numFmtId="183"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3" fontId="2" fillId="0" borderId="13" xfId="8733" applyNumberFormat="1" applyBorder="1" applyAlignment="1">
      <alignment horizontal="center"/>
    </xf>
    <xf numFmtId="0" fontId="2" fillId="0" borderId="13" xfId="8733" applyBorder="1" applyAlignment="1">
      <alignment horizontal="center"/>
    </xf>
    <xf numFmtId="0" fontId="155" fillId="45" borderId="80" xfId="0" applyFont="1" applyFill="1" applyBorder="1" applyAlignment="1" applyProtection="1">
      <alignment horizontal="center" wrapText="1"/>
      <protection hidden="1"/>
    </xf>
    <xf numFmtId="0" fontId="155" fillId="45" borderId="79" xfId="0" applyFont="1" applyFill="1" applyBorder="1" applyAlignment="1" applyProtection="1">
      <alignment horizontal="center" wrapText="1"/>
      <protection hidden="1"/>
    </xf>
    <xf numFmtId="0" fontId="155" fillId="45" borderId="78" xfId="0" applyFont="1" applyFill="1" applyBorder="1" applyAlignment="1" applyProtection="1">
      <alignment horizontal="center" wrapText="1"/>
      <protection hidden="1"/>
    </xf>
    <xf numFmtId="0" fontId="155" fillId="45" borderId="13" xfId="0" applyFont="1" applyFill="1" applyBorder="1" applyAlignment="1" applyProtection="1">
      <alignment horizontal="left" wrapText="1"/>
      <protection hidden="1"/>
    </xf>
    <xf numFmtId="0" fontId="155" fillId="45" borderId="13" xfId="0" applyFont="1" applyFill="1" applyBorder="1" applyAlignment="1" applyProtection="1">
      <alignment horizontal="center" wrapText="1"/>
      <protection hidden="1"/>
    </xf>
    <xf numFmtId="0" fontId="161" fillId="45" borderId="11" xfId="8733"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0"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5"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3" applyFont="1" applyFill="1" applyBorder="1" applyAlignment="1">
      <alignment horizontal="center"/>
    </xf>
    <xf numFmtId="0" fontId="157" fillId="47" borderId="29" xfId="8733" applyFont="1" applyFill="1" applyBorder="1" applyAlignment="1">
      <alignment horizontal="center"/>
    </xf>
    <xf numFmtId="0" fontId="15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56" fillId="47" borderId="66" xfId="8733" applyFont="1" applyFill="1" applyBorder="1" applyAlignment="1">
      <alignment horizontal="center"/>
    </xf>
    <xf numFmtId="0" fontId="156" fillId="47" borderId="0" xfId="8733" applyFont="1" applyFill="1" applyAlignment="1">
      <alignment horizontal="center"/>
    </xf>
    <xf numFmtId="0" fontId="156" fillId="47" borderId="41" xfId="8733" applyFont="1" applyFill="1" applyBorder="1" applyAlignment="1">
      <alignment horizontal="center"/>
    </xf>
    <xf numFmtId="0" fontId="92" fillId="47" borderId="66" xfId="8733" applyFont="1" applyFill="1" applyBorder="1" applyAlignment="1">
      <alignment horizontal="center"/>
    </xf>
    <xf numFmtId="0" fontId="92" fillId="47" borderId="41" xfId="8733" applyFont="1" applyFill="1" applyBorder="1" applyAlignment="1">
      <alignment horizontal="center"/>
    </xf>
    <xf numFmtId="0" fontId="92" fillId="47" borderId="0" xfId="8733"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5"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55" fillId="44" borderId="0" xfId="8733" applyFont="1" applyFill="1" applyAlignment="1">
      <alignment horizontal="left" vertical="top"/>
    </xf>
    <xf numFmtId="0" fontId="9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56" fillId="47" borderId="0" xfId="8733" applyFont="1" applyFill="1" applyAlignment="1">
      <alignment horizontal="left" vertical="top" wrapText="1"/>
    </xf>
    <xf numFmtId="0" fontId="9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9" fontId="17" fillId="2" borderId="3" xfId="569" applyNumberFormat="1" applyFill="1" applyBorder="1" applyAlignment="1">
      <alignment horizontal="center"/>
    </xf>
    <xf numFmtId="169" fontId="17" fillId="2" borderId="4" xfId="569" applyNumberFormat="1" applyFill="1" applyBorder="1" applyAlignment="1">
      <alignment horizontal="center"/>
    </xf>
    <xf numFmtId="169" fontId="17" fillId="2" borderId="5" xfId="569" applyNumberFormat="1" applyFill="1" applyBorder="1" applyAlignment="1">
      <alignment horizontal="center"/>
    </xf>
    <xf numFmtId="169" fontId="17" fillId="5" borderId="5" xfId="569" applyNumberFormat="1" applyFill="1" applyBorder="1" applyAlignment="1" applyProtection="1">
      <alignment horizontal="center"/>
      <protection locked="0"/>
    </xf>
    <xf numFmtId="169" fontId="17" fillId="5" borderId="11" xfId="569" applyNumberFormat="1" applyFill="1" applyBorder="1" applyAlignment="1" applyProtection="1">
      <alignment horizontal="center"/>
      <protection locked="0"/>
    </xf>
    <xf numFmtId="169" fontId="17" fillId="0" borderId="5" xfId="569" applyNumberFormat="1" applyBorder="1" applyAlignment="1">
      <alignment horizontal="center"/>
    </xf>
    <xf numFmtId="169" fontId="17" fillId="0" borderId="11" xfId="569" applyNumberFormat="1" applyBorder="1" applyAlignment="1">
      <alignment horizontal="center"/>
    </xf>
    <xf numFmtId="169" fontId="17" fillId="0" borderId="3" xfId="569" applyNumberFormat="1" applyBorder="1" applyAlignment="1">
      <alignment horizontal="center"/>
    </xf>
    <xf numFmtId="169" fontId="17" fillId="0" borderId="4" xfId="569" applyNumberFormat="1" applyBorder="1" applyAlignment="1">
      <alignment horizontal="center"/>
    </xf>
    <xf numFmtId="180" fontId="24" fillId="0" borderId="0" xfId="569" applyNumberFormat="1" applyFont="1" applyAlignment="1">
      <alignment horizontal="center" wrapText="1"/>
    </xf>
    <xf numFmtId="0" fontId="24" fillId="0" borderId="16" xfId="271" applyFont="1" applyBorder="1" applyAlignment="1">
      <alignment horizontal="center"/>
    </xf>
    <xf numFmtId="165"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46"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9" fontId="17" fillId="0" borderId="3" xfId="569" applyNumberFormat="1" applyBorder="1" applyAlignment="1">
      <alignment horizontal="right"/>
    </xf>
    <xf numFmtId="169" fontId="17" fillId="0" borderId="4" xfId="569" applyNumberFormat="1" applyBorder="1" applyAlignment="1">
      <alignment horizontal="right"/>
    </xf>
    <xf numFmtId="169"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9" fontId="17" fillId="0" borderId="7" xfId="569" applyNumberFormat="1" applyBorder="1" applyAlignment="1">
      <alignment horizontal="center"/>
    </xf>
    <xf numFmtId="169" fontId="17" fillId="0" borderId="15" xfId="569" applyNumberFormat="1" applyBorder="1" applyAlignment="1">
      <alignment horizontal="center"/>
    </xf>
    <xf numFmtId="169" fontId="17" fillId="5" borderId="10" xfId="569" applyNumberFormat="1" applyFill="1" applyBorder="1" applyAlignment="1" applyProtection="1">
      <alignment horizontal="center"/>
      <protection locked="0"/>
    </xf>
    <xf numFmtId="169"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9"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7" fontId="17" fillId="5" borderId="3" xfId="569" applyNumberFormat="1" applyFill="1" applyBorder="1" applyAlignment="1" applyProtection="1">
      <alignment horizontal="right"/>
      <protection locked="0"/>
    </xf>
    <xf numFmtId="177" fontId="17" fillId="5" borderId="4" xfId="569" applyNumberFormat="1" applyFill="1" applyBorder="1" applyAlignment="1" applyProtection="1">
      <alignment horizontal="right"/>
      <protection locked="0"/>
    </xf>
    <xf numFmtId="177" fontId="17" fillId="5" borderId="5" xfId="569" applyNumberFormat="1" applyFill="1" applyBorder="1" applyAlignment="1" applyProtection="1">
      <alignment horizontal="right"/>
      <protection locked="0"/>
    </xf>
    <xf numFmtId="0" fontId="97" fillId="0" borderId="0" xfId="569" applyFont="1" applyAlignment="1">
      <alignment horizontal="left" wrapText="1"/>
    </xf>
    <xf numFmtId="0" fontId="24" fillId="0" borderId="11" xfId="569" applyFont="1" applyBorder="1" applyAlignment="1">
      <alignment horizontal="center"/>
    </xf>
    <xf numFmtId="166" fontId="17" fillId="0" borderId="11" xfId="569" applyNumberFormat="1" applyBorder="1" applyAlignment="1" applyProtection="1">
      <alignment horizontal="center"/>
      <protection locked="0"/>
    </xf>
    <xf numFmtId="169" fontId="17" fillId="0" borderId="11" xfId="569" applyNumberFormat="1" applyBorder="1"/>
    <xf numFmtId="169" fontId="17" fillId="0" borderId="3" xfId="569" applyNumberFormat="1" applyBorder="1"/>
    <xf numFmtId="169" fontId="17" fillId="0" borderId="4" xfId="569" applyNumberFormat="1" applyBorder="1"/>
    <xf numFmtId="169" fontId="17" fillId="0" borderId="5" xfId="569" applyNumberFormat="1" applyBorder="1"/>
    <xf numFmtId="169"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9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5" fontId="17" fillId="0" borderId="50" xfId="4495" applyNumberFormat="1" applyFont="1" applyBorder="1" applyAlignment="1">
      <alignment horizontal="left" vertical="top" wrapText="1"/>
    </xf>
    <xf numFmtId="165" fontId="17" fillId="0" borderId="51" xfId="4495" applyNumberFormat="1" applyFont="1" applyBorder="1" applyAlignment="1">
      <alignment horizontal="left" vertical="top" wrapText="1"/>
    </xf>
    <xf numFmtId="165" fontId="17" fillId="0" borderId="52" xfId="4495" applyNumberFormat="1" applyFont="1" applyBorder="1" applyAlignment="1">
      <alignment horizontal="left" vertical="top" wrapText="1"/>
    </xf>
    <xf numFmtId="165" fontId="17" fillId="0" borderId="53" xfId="4495" applyNumberFormat="1" applyFont="1" applyBorder="1" applyAlignment="1">
      <alignment horizontal="left" vertical="top" wrapText="1"/>
    </xf>
    <xf numFmtId="165" fontId="17" fillId="0" borderId="0" xfId="4495" applyNumberFormat="1" applyFont="1" applyAlignment="1">
      <alignment horizontal="left" vertical="top" wrapText="1"/>
    </xf>
    <xf numFmtId="165" fontId="17" fillId="0" borderId="54" xfId="4495" applyNumberFormat="1" applyFont="1" applyBorder="1" applyAlignment="1">
      <alignment horizontal="left" vertical="top" wrapText="1"/>
    </xf>
    <xf numFmtId="165" fontId="17" fillId="0" borderId="57" xfId="4495" applyNumberFormat="1" applyFont="1" applyBorder="1" applyAlignment="1">
      <alignment horizontal="left" vertical="top" wrapText="1"/>
    </xf>
    <xf numFmtId="165" fontId="17" fillId="0" borderId="58" xfId="4495" applyNumberFormat="1" applyFont="1" applyBorder="1" applyAlignment="1">
      <alignment horizontal="left" vertical="top" wrapText="1"/>
    </xf>
    <xf numFmtId="165"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6" fontId="112" fillId="0" borderId="3" xfId="4496" applyNumberFormat="1" applyFont="1" applyBorder="1" applyAlignment="1">
      <alignment horizontal="center" vertical="top" wrapText="1"/>
    </xf>
    <xf numFmtId="166" fontId="112" fillId="0" borderId="4" xfId="4496" applyNumberFormat="1" applyFont="1" applyBorder="1" applyAlignment="1">
      <alignment horizontal="center" vertical="top" wrapText="1"/>
    </xf>
    <xf numFmtId="166" fontId="11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9" fontId="17" fillId="0" borderId="0" xfId="1192" applyNumberFormat="1" applyAlignment="1">
      <alignment horizontal="right"/>
    </xf>
    <xf numFmtId="0" fontId="132" fillId="0" borderId="0" xfId="1192" applyFont="1" applyAlignment="1">
      <alignment horizontal="center"/>
    </xf>
    <xf numFmtId="169" fontId="17" fillId="43" borderId="6" xfId="543" applyNumberFormat="1" applyFill="1" applyBorder="1" applyAlignment="1" applyProtection="1">
      <alignment horizontal="center"/>
      <protection locked="0"/>
    </xf>
    <xf numFmtId="169"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9" fontId="17" fillId="0" borderId="6" xfId="1192" applyNumberFormat="1" applyBorder="1" applyAlignment="1">
      <alignment horizontal="right"/>
    </xf>
    <xf numFmtId="169"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9" fontId="17" fillId="0" borderId="6" xfId="4496" applyNumberFormat="1" applyFont="1" applyBorder="1" applyAlignment="1">
      <alignment horizontal="center"/>
    </xf>
    <xf numFmtId="169"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2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10" fillId="5" borderId="55" xfId="4495" applyFill="1" applyBorder="1" applyAlignment="1" applyProtection="1">
      <alignment horizontal="center"/>
      <protection locked="0"/>
    </xf>
    <xf numFmtId="0" fontId="11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08" fillId="0" borderId="4" xfId="1192" applyFont="1" applyBorder="1" applyAlignment="1">
      <alignment horizontal="left"/>
    </xf>
    <xf numFmtId="0" fontId="132" fillId="0" borderId="6" xfId="1192" applyFont="1" applyBorder="1" applyAlignment="1">
      <alignment horizontal="center"/>
    </xf>
    <xf numFmtId="169"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10" fillId="5" borderId="50" xfId="4495" applyFill="1" applyBorder="1" applyAlignment="1">
      <alignment horizontal="center"/>
    </xf>
    <xf numFmtId="0" fontId="110" fillId="5" borderId="51" xfId="4495" applyFill="1" applyBorder="1" applyAlignment="1">
      <alignment horizontal="center"/>
    </xf>
    <xf numFmtId="0" fontId="46" fillId="0" borderId="51" xfId="4495" applyFont="1" applyBorder="1" applyAlignment="1">
      <alignment horizontal="left" vertical="top" wrapText="1"/>
    </xf>
    <xf numFmtId="0" fontId="46" fillId="0" borderId="0" xfId="4495" applyFont="1" applyAlignment="1">
      <alignment horizontal="left" vertical="top" wrapText="1"/>
    </xf>
    <xf numFmtId="9" fontId="25" fillId="5" borderId="58" xfId="4495" applyNumberFormat="1" applyFont="1" applyFill="1" applyBorder="1" applyAlignment="1">
      <alignment horizontal="left"/>
    </xf>
    <xf numFmtId="0" fontId="110" fillId="0" borderId="0" xfId="4495" applyAlignment="1">
      <alignment horizontal="center"/>
    </xf>
    <xf numFmtId="0" fontId="25" fillId="5" borderId="6" xfId="4495" applyFont="1" applyFill="1" applyBorder="1" applyAlignment="1">
      <alignment horizontal="left"/>
    </xf>
    <xf numFmtId="0" fontId="110" fillId="5" borderId="62" xfId="4495" applyFill="1" applyBorder="1" applyAlignment="1">
      <alignment horizontal="center"/>
    </xf>
    <xf numFmtId="0" fontId="11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12" fillId="0" borderId="50" xfId="4496" applyFont="1" applyBorder="1" applyAlignment="1">
      <alignment horizontal="left" wrapText="1"/>
    </xf>
    <xf numFmtId="0" fontId="112" fillId="0" borderId="51" xfId="4496" applyFont="1" applyBorder="1" applyAlignment="1">
      <alignment horizontal="left" wrapText="1"/>
    </xf>
    <xf numFmtId="0" fontId="112" fillId="0" borderId="52" xfId="4496" applyFont="1" applyBorder="1" applyAlignment="1">
      <alignment horizontal="left" wrapText="1"/>
    </xf>
    <xf numFmtId="0" fontId="112" fillId="0" borderId="57" xfId="4496" applyFont="1" applyBorder="1" applyAlignment="1">
      <alignment horizontal="left" wrapText="1"/>
    </xf>
    <xf numFmtId="0" fontId="112" fillId="0" borderId="58" xfId="4496" applyFont="1" applyBorder="1" applyAlignment="1">
      <alignment horizontal="left" wrapText="1"/>
    </xf>
    <xf numFmtId="0" fontId="112" fillId="0" borderId="59" xfId="4496" applyFont="1" applyBorder="1" applyAlignment="1">
      <alignment horizontal="left" wrapText="1"/>
    </xf>
    <xf numFmtId="0" fontId="11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5" fontId="55" fillId="0" borderId="1" xfId="4495" applyNumberFormat="1" applyFont="1" applyBorder="1" applyAlignment="1">
      <alignment horizontal="right" vertical="center"/>
    </xf>
    <xf numFmtId="165" fontId="55" fillId="0" borderId="2" xfId="4495" applyNumberFormat="1" applyFont="1" applyBorder="1" applyAlignment="1">
      <alignment horizontal="right" vertical="center"/>
    </xf>
    <xf numFmtId="165" fontId="55" fillId="0" borderId="7" xfId="4495" applyNumberFormat="1" applyFont="1" applyBorder="1" applyAlignment="1">
      <alignment horizontal="right" vertical="center"/>
    </xf>
    <xf numFmtId="165" fontId="55" fillId="0" borderId="9" xfId="4495" applyNumberFormat="1" applyFont="1" applyBorder="1" applyAlignment="1">
      <alignment horizontal="right" vertical="center"/>
    </xf>
    <xf numFmtId="165" fontId="55" fillId="0" borderId="6" xfId="4495" applyNumberFormat="1" applyFont="1" applyBorder="1" applyAlignment="1">
      <alignment horizontal="right" vertical="center"/>
    </xf>
    <xf numFmtId="165" fontId="55" fillId="0" borderId="10" xfId="4495" applyNumberFormat="1" applyFont="1" applyBorder="1" applyAlignment="1">
      <alignment horizontal="right" vertical="center"/>
    </xf>
    <xf numFmtId="181" fontId="55" fillId="0" borderId="1" xfId="4495" applyNumberFormat="1" applyFont="1" applyBorder="1" applyAlignment="1">
      <alignment horizontal="center" vertical="center"/>
    </xf>
    <xf numFmtId="181" fontId="55" fillId="0" borderId="2" xfId="4495" applyNumberFormat="1" applyFont="1" applyBorder="1" applyAlignment="1">
      <alignment horizontal="center" vertical="center"/>
    </xf>
    <xf numFmtId="181" fontId="55" fillId="0" borderId="7" xfId="4495" applyNumberFormat="1" applyFont="1" applyBorder="1" applyAlignment="1">
      <alignment horizontal="center" vertical="center"/>
    </xf>
    <xf numFmtId="181" fontId="55" fillId="0" borderId="9" xfId="4495" applyNumberFormat="1" applyFont="1" applyBorder="1" applyAlignment="1">
      <alignment horizontal="center" vertical="center"/>
    </xf>
    <xf numFmtId="181" fontId="55" fillId="0" borderId="6" xfId="4495" applyNumberFormat="1" applyFont="1" applyBorder="1" applyAlignment="1">
      <alignment horizontal="center" vertical="center"/>
    </xf>
    <xf numFmtId="181" fontId="55"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10" fillId="5" borderId="53" xfId="4495" applyFill="1" applyBorder="1" applyAlignment="1">
      <alignment horizontal="center"/>
    </xf>
    <xf numFmtId="0" fontId="110" fillId="5" borderId="0" xfId="4495" applyFill="1" applyAlignment="1">
      <alignment horizontal="center"/>
    </xf>
    <xf numFmtId="0" fontId="110" fillId="5" borderId="55" xfId="4495" applyFill="1" applyBorder="1" applyAlignment="1">
      <alignment horizontal="center"/>
    </xf>
    <xf numFmtId="0" fontId="11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46" fillId="0" borderId="51" xfId="4495" applyFont="1" applyBorder="1" applyAlignment="1">
      <alignment horizontal="left" wrapText="1"/>
    </xf>
    <xf numFmtId="0" fontId="46" fillId="0" borderId="0" xfId="4495" applyFont="1" applyAlignment="1">
      <alignment horizontal="left" wrapText="1"/>
    </xf>
    <xf numFmtId="0" fontId="24" fillId="0" borderId="54" xfId="4495" applyFont="1" applyBorder="1" applyAlignment="1">
      <alignment horizontal="center" vertical="top"/>
    </xf>
    <xf numFmtId="0" fontId="12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9" fontId="146" fillId="0" borderId="0" xfId="0" applyNumberFormat="1" applyFont="1" applyAlignment="1">
      <alignment horizontal="center" vertical="top" wrapText="1"/>
    </xf>
    <xf numFmtId="169" fontId="14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10" fillId="5" borderId="62" xfId="4495" applyFill="1" applyBorder="1" applyAlignment="1" applyProtection="1">
      <alignment horizontal="center"/>
      <protection locked="0"/>
    </xf>
    <xf numFmtId="0" fontId="11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10" fillId="0" borderId="0" xfId="4495" applyAlignment="1" applyProtection="1">
      <alignment horizontal="center"/>
      <protection locked="0"/>
    </xf>
    <xf numFmtId="9" fontId="17" fillId="0" borderId="4" xfId="543" applyNumberFormat="1" applyBorder="1" applyAlignment="1">
      <alignment horizontal="center"/>
    </xf>
    <xf numFmtId="169" fontId="17" fillId="0" borderId="6" xfId="4495" applyNumberFormat="1" applyFont="1" applyBorder="1" applyAlignment="1">
      <alignment horizontal="right"/>
    </xf>
    <xf numFmtId="169" fontId="108" fillId="0" borderId="6" xfId="4495" applyNumberFormat="1" applyFont="1" applyBorder="1" applyAlignment="1">
      <alignment horizontal="right"/>
    </xf>
    <xf numFmtId="169"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9" fontId="17" fillId="0" borderId="4" xfId="4495" applyNumberFormat="1" applyFont="1" applyBorder="1" applyAlignment="1">
      <alignment horizontal="right"/>
    </xf>
    <xf numFmtId="166" fontId="17" fillId="43" borderId="3" xfId="4495" applyNumberFormat="1" applyFont="1" applyFill="1" applyBorder="1" applyAlignment="1" applyProtection="1">
      <alignment horizontal="center"/>
      <protection locked="0"/>
    </xf>
    <xf numFmtId="166" fontId="17" fillId="43" borderId="4" xfId="4495" applyNumberFormat="1" applyFont="1" applyFill="1" applyBorder="1" applyAlignment="1" applyProtection="1">
      <alignment horizontal="center"/>
      <protection locked="0"/>
    </xf>
    <xf numFmtId="166" fontId="17" fillId="43" borderId="5" xfId="4495" applyNumberFormat="1" applyFont="1" applyFill="1" applyBorder="1" applyAlignment="1" applyProtection="1">
      <alignment horizontal="center"/>
      <protection locked="0"/>
    </xf>
    <xf numFmtId="166" fontId="17" fillId="0" borderId="6" xfId="1192" applyNumberFormat="1" applyBorder="1" applyAlignment="1">
      <alignment horizontal="right"/>
    </xf>
    <xf numFmtId="169"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6"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46"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12" fillId="0" borderId="55" xfId="4496" applyNumberFormat="1" applyFont="1" applyBorder="1" applyAlignment="1">
      <alignment horizontal="center" vertical="top" wrapText="1"/>
    </xf>
    <xf numFmtId="1" fontId="112" fillId="0" borderId="6" xfId="4496" applyNumberFormat="1" applyFont="1" applyBorder="1" applyAlignment="1">
      <alignment horizontal="center" vertical="top" wrapText="1"/>
    </xf>
    <xf numFmtId="166" fontId="112" fillId="0" borderId="55" xfId="4496" applyNumberFormat="1" applyFont="1" applyBorder="1" applyAlignment="1">
      <alignment horizontal="center" vertical="top" wrapText="1"/>
    </xf>
    <xf numFmtId="166" fontId="112" fillId="0" borderId="6" xfId="4496" applyNumberFormat="1" applyFont="1" applyBorder="1" applyAlignment="1">
      <alignment horizontal="center" vertical="top" wrapText="1"/>
    </xf>
    <xf numFmtId="169" fontId="112" fillId="43" borderId="55" xfId="4496" applyNumberFormat="1" applyFont="1" applyFill="1" applyBorder="1" applyAlignment="1" applyProtection="1">
      <alignment horizontal="center" vertical="top" wrapText="1"/>
      <protection locked="0"/>
    </xf>
    <xf numFmtId="169" fontId="112" fillId="43" borderId="6" xfId="4496" applyNumberFormat="1" applyFont="1" applyFill="1" applyBorder="1" applyAlignment="1" applyProtection="1">
      <alignment horizontal="center" vertical="top" wrapText="1"/>
      <protection locked="0"/>
    </xf>
    <xf numFmtId="0" fontId="112" fillId="0" borderId="50" xfId="4496" applyFont="1" applyBorder="1" applyAlignment="1">
      <alignment horizontal="left" vertical="top" wrapText="1"/>
    </xf>
    <xf numFmtId="0" fontId="112" fillId="0" borderId="51" xfId="4496" applyFont="1" applyBorder="1" applyAlignment="1">
      <alignment horizontal="left" vertical="top" wrapText="1"/>
    </xf>
    <xf numFmtId="0" fontId="112" fillId="0" borderId="52" xfId="4496" applyFont="1" applyBorder="1" applyAlignment="1">
      <alignment horizontal="left" vertical="top" wrapText="1"/>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169" fontId="112" fillId="0" borderId="55" xfId="4496" applyNumberFormat="1" applyFont="1" applyBorder="1" applyAlignment="1">
      <alignment horizontal="center" vertical="top"/>
    </xf>
    <xf numFmtId="169" fontId="112" fillId="0" borderId="6" xfId="4496" applyNumberFormat="1" applyFont="1" applyBorder="1" applyAlignment="1">
      <alignment horizontal="center" vertical="top"/>
    </xf>
    <xf numFmtId="0" fontId="112" fillId="5" borderId="6" xfId="4496" applyFont="1" applyFill="1" applyBorder="1" applyAlignment="1" applyProtection="1">
      <alignment horizontal="center"/>
      <protection locked="0"/>
    </xf>
    <xf numFmtId="10" fontId="112" fillId="0" borderId="3" xfId="4496" applyNumberFormat="1" applyFont="1" applyBorder="1" applyAlignment="1">
      <alignment horizontal="center" vertical="top" wrapText="1"/>
    </xf>
    <xf numFmtId="10" fontId="112" fillId="0" borderId="4" xfId="4496" applyNumberFormat="1" applyFont="1" applyBorder="1" applyAlignment="1">
      <alignment horizontal="center" vertical="top" wrapText="1"/>
    </xf>
    <xf numFmtId="10" fontId="112" fillId="0" borderId="5" xfId="4496" applyNumberFormat="1" applyFont="1" applyBorder="1" applyAlignment="1">
      <alignment horizontal="center" vertical="top" wrapText="1"/>
    </xf>
    <xf numFmtId="0" fontId="112" fillId="0" borderId="55" xfId="4496" applyFont="1" applyBorder="1" applyAlignment="1">
      <alignment horizontal="center" vertical="top" wrapText="1"/>
    </xf>
    <xf numFmtId="0" fontId="11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12" fillId="43" borderId="55" xfId="4496" applyFont="1" applyFill="1" applyBorder="1" applyAlignment="1" applyProtection="1">
      <alignment horizontal="left" vertical="top" wrapText="1"/>
      <protection locked="0"/>
    </xf>
    <xf numFmtId="0" fontId="112" fillId="43" borderId="6" xfId="4496" applyFont="1" applyFill="1" applyBorder="1" applyAlignment="1" applyProtection="1">
      <alignment horizontal="left" vertical="top" wrapText="1"/>
      <protection locked="0"/>
    </xf>
    <xf numFmtId="0" fontId="112" fillId="43" borderId="56" xfId="4496" applyFont="1" applyFill="1" applyBorder="1" applyAlignment="1" applyProtection="1">
      <alignment horizontal="left" vertical="top" wrapText="1"/>
      <protection locked="0"/>
    </xf>
    <xf numFmtId="166" fontId="112" fillId="0" borderId="60" xfId="4496" applyNumberFormat="1" applyFont="1" applyBorder="1" applyAlignment="1">
      <alignment horizontal="center" vertical="top" wrapText="1"/>
    </xf>
    <xf numFmtId="0" fontId="112" fillId="5" borderId="60" xfId="4496" applyFont="1" applyFill="1" applyBorder="1" applyAlignment="1" applyProtection="1">
      <alignment horizontal="center"/>
      <protection locked="0"/>
    </xf>
    <xf numFmtId="0" fontId="112" fillId="5" borderId="4" xfId="4496" applyFont="1" applyFill="1" applyBorder="1" applyAlignment="1" applyProtection="1">
      <alignment horizontal="center"/>
      <protection locked="0"/>
    </xf>
    <xf numFmtId="0" fontId="112" fillId="0" borderId="57" xfId="4496" applyFont="1" applyBorder="1" applyAlignment="1">
      <alignment horizontal="left" vertical="top" wrapText="1"/>
    </xf>
    <xf numFmtId="0" fontId="112" fillId="0" borderId="58" xfId="4496" applyFont="1" applyBorder="1" applyAlignment="1">
      <alignment horizontal="left" vertical="top" wrapText="1"/>
    </xf>
    <xf numFmtId="0" fontId="112" fillId="0" borderId="59" xfId="4496" applyFont="1" applyBorder="1" applyAlignment="1">
      <alignment horizontal="left" vertical="top" wrapText="1"/>
    </xf>
    <xf numFmtId="0" fontId="112" fillId="5" borderId="55" xfId="4496" applyFont="1" applyFill="1" applyBorder="1" applyAlignment="1" applyProtection="1">
      <alignment horizontal="center"/>
      <protection locked="0"/>
    </xf>
    <xf numFmtId="0" fontId="112" fillId="0" borderId="47" xfId="4496" applyFont="1" applyBorder="1"/>
    <xf numFmtId="0" fontId="112" fillId="0" borderId="48" xfId="4496" applyFont="1" applyBorder="1"/>
    <xf numFmtId="0" fontId="11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88" fillId="0" borderId="3" xfId="4496" applyFont="1" applyBorder="1" applyAlignment="1">
      <alignment horizontal="left" indent="2"/>
    </xf>
    <xf numFmtId="0" fontId="88" fillId="0" borderId="4" xfId="4496" applyFont="1" applyBorder="1" applyAlignment="1">
      <alignment horizontal="left" indent="2"/>
    </xf>
    <xf numFmtId="0" fontId="88"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8" fillId="0" borderId="0" xfId="4496" applyFont="1" applyAlignment="1">
      <alignment wrapText="1"/>
    </xf>
    <xf numFmtId="49" fontId="88" fillId="45" borderId="15" xfId="4496" applyNumberFormat="1" applyFont="1" applyFill="1" applyBorder="1" applyAlignment="1">
      <alignment horizontal="center" vertical="center" wrapText="1"/>
    </xf>
    <xf numFmtId="49" fontId="88"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8" fillId="0" borderId="0" xfId="4496" applyFont="1" applyAlignment="1">
      <alignment horizontal="left" wrapText="1"/>
    </xf>
    <xf numFmtId="0" fontId="88" fillId="0" borderId="0" xfId="4496" applyFont="1" applyAlignment="1">
      <alignment horizontal="center" vertical="center" wrapText="1"/>
    </xf>
    <xf numFmtId="0" fontId="88" fillId="43" borderId="0" xfId="4496" applyFont="1" applyFill="1" applyAlignment="1" applyProtection="1">
      <alignment horizontal="left" vertical="top" wrapText="1"/>
      <protection locked="0"/>
    </xf>
    <xf numFmtId="0" fontId="88" fillId="43" borderId="6" xfId="4496" applyFont="1" applyFill="1" applyBorder="1" applyAlignment="1" applyProtection="1">
      <alignment horizontal="left" vertical="top" wrapText="1"/>
      <protection locked="0"/>
    </xf>
    <xf numFmtId="169" fontId="88" fillId="0" borderId="13" xfId="4499" applyNumberFormat="1" applyFont="1" applyFill="1" applyBorder="1" applyAlignment="1" applyProtection="1">
      <alignment horizontal="left" vertical="center" indent="1"/>
    </xf>
    <xf numFmtId="169" fontId="88" fillId="0" borderId="11" xfId="4499" applyNumberFormat="1" applyFont="1" applyFill="1" applyBorder="1" applyAlignment="1" applyProtection="1">
      <alignment horizontal="left" vertical="center" indent="1"/>
    </xf>
    <xf numFmtId="0" fontId="88" fillId="0" borderId="3" xfId="4496" applyFont="1" applyBorder="1" applyAlignment="1">
      <alignment horizontal="left" indent="1"/>
    </xf>
    <xf numFmtId="0" fontId="88" fillId="0" borderId="4" xfId="4496" applyFont="1" applyBorder="1" applyAlignment="1">
      <alignment horizontal="left" indent="1"/>
    </xf>
    <xf numFmtId="0" fontId="88" fillId="0" borderId="5" xfId="4496" applyFont="1" applyBorder="1" applyAlignment="1">
      <alignment horizontal="left" indent="1"/>
    </xf>
    <xf numFmtId="0" fontId="88" fillId="0" borderId="67" xfId="4496" applyFont="1" applyBorder="1" applyAlignment="1">
      <alignment horizontal="right"/>
    </xf>
    <xf numFmtId="0" fontId="88" fillId="0" borderId="68" xfId="4496" applyFont="1" applyBorder="1" applyAlignment="1">
      <alignment horizontal="right"/>
    </xf>
    <xf numFmtId="0" fontId="88" fillId="0" borderId="0" xfId="4496" applyFont="1" applyAlignment="1">
      <alignment horizontal="left" wrapText="1" indent="1"/>
    </xf>
    <xf numFmtId="49" fontId="126" fillId="3" borderId="0" xfId="1192" applyNumberFormat="1" applyFont="1" applyFill="1" applyAlignment="1">
      <alignment horizontal="center" vertical="center"/>
    </xf>
    <xf numFmtId="0" fontId="88" fillId="0" borderId="11" xfId="4496" applyFont="1" applyBorder="1" applyAlignment="1">
      <alignment horizontal="left" indent="1"/>
    </xf>
    <xf numFmtId="0" fontId="88"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0" fontId="127" fillId="0" borderId="68" xfId="4496" applyFont="1" applyBorder="1" applyAlignment="1">
      <alignment horizontal="left" indent="1"/>
    </xf>
    <xf numFmtId="169" fontId="88" fillId="0" borderId="70" xfId="4499" applyNumberFormat="1" applyFont="1" applyFill="1" applyBorder="1" applyAlignment="1" applyProtection="1">
      <alignment horizontal="left" vertical="center" indent="1"/>
    </xf>
    <xf numFmtId="0" fontId="88" fillId="0" borderId="72" xfId="4496" applyFont="1" applyBorder="1" applyAlignment="1">
      <alignment horizontal="right"/>
    </xf>
    <xf numFmtId="0" fontId="88" fillId="0" borderId="11" xfId="4496" applyFont="1" applyBorder="1" applyAlignment="1">
      <alignment horizontal="right"/>
    </xf>
    <xf numFmtId="0" fontId="88" fillId="0" borderId="69" xfId="4496" applyFont="1" applyBorder="1" applyAlignment="1">
      <alignment horizontal="right"/>
    </xf>
    <xf numFmtId="0" fontId="88" fillId="0" borderId="70" xfId="4496" applyFont="1" applyBorder="1" applyAlignment="1">
      <alignment horizontal="right"/>
    </xf>
    <xf numFmtId="0" fontId="88" fillId="0" borderId="11" xfId="4496" applyFont="1" applyBorder="1"/>
    <xf numFmtId="0" fontId="88" fillId="0" borderId="76" xfId="4496" applyFont="1" applyBorder="1"/>
    <xf numFmtId="0" fontId="88" fillId="0" borderId="70" xfId="4496" applyFont="1" applyBorder="1"/>
    <xf numFmtId="0" fontId="88" fillId="0" borderId="77" xfId="4496" applyFont="1" applyBorder="1"/>
    <xf numFmtId="0" fontId="88" fillId="0" borderId="68" xfId="4496" applyFont="1" applyBorder="1"/>
    <xf numFmtId="0" fontId="8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0" fontId="17" fillId="43" borderId="0" xfId="0" applyFont="1" applyFill="1" applyAlignment="1">
      <alignment horizontal="left"/>
    </xf>
  </cellXfs>
  <cellStyles count="25662">
    <cellStyle name="20% - Accent1" xfId="1" builtinId="30" customBuiltin="1"/>
    <cellStyle name="20% - Accent1 10" xfId="4504" xr:uid="{00000000-0005-0000-0000-000001000000}"/>
    <cellStyle name="20% - Accent1 10 2" xfId="21439" xr:uid="{59180D18-7026-4F25-AF9B-F5C6755B05E9}"/>
    <cellStyle name="20% - Accent1 10 3" xfId="12998" xr:uid="{A6035C6C-D0DD-4A1D-BAA7-5BECA5AF1E52}"/>
    <cellStyle name="20% - Accent1 11" xfId="17221" xr:uid="{3F3541E5-3664-4E11-B386-6AE362A97E7A}"/>
    <cellStyle name="20% - Accent1 12" xfId="8736" xr:uid="{AB5A2FDB-724C-42E1-9250-63E0DF01A49E}"/>
    <cellStyle name="20% - Accent1 2" xfId="2" xr:uid="{00000000-0005-0000-0000-000002000000}"/>
    <cellStyle name="20% - Accent1 2 10" xfId="17222" xr:uid="{B7514B36-772B-4C31-8880-D7A451CCF3CE}"/>
    <cellStyle name="20% - Accent1 2 11" xfId="8737" xr:uid="{0D59ACB0-BD8B-43A7-9ED0-9C0CA784DAD5}"/>
    <cellStyle name="20% - Accent1 2 2" xfId="3" xr:uid="{00000000-0005-0000-0000-000003000000}"/>
    <cellStyle name="20% - Accent1 2 2 10" xfId="8738" xr:uid="{0F5CA212-DDFF-446D-80A0-363B3555CC9A}"/>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4001" xr:uid="{73C8B16C-FC6D-47E9-BB01-DE7FAFA91675}"/>
    <cellStyle name="20% - Accent1 2 2 2 2 2 2 3" xfId="15560" xr:uid="{6510D82D-EE5B-4BDA-8301-24E4EEBE834C}"/>
    <cellStyle name="20% - Accent1 2 2 2 2 2 3" xfId="19783" xr:uid="{93E3B1DA-B950-4EAC-B721-3A3E1755599D}"/>
    <cellStyle name="20% - Accent1 2 2 2 2 2 4" xfId="11341" xr:uid="{B9574DFA-9B4A-4BF0-A665-0876824BD0A6}"/>
    <cellStyle name="20% - Accent1 2 2 2 2 3" xfId="4921" xr:uid="{00000000-0005-0000-0000-000008000000}"/>
    <cellStyle name="20% - Accent1 2 2 2 2 3 2" xfId="21856" xr:uid="{CE7D8FAB-BFDB-430B-BB41-92F766E4CF4B}"/>
    <cellStyle name="20% - Accent1 2 2 2 2 3 3" xfId="13415" xr:uid="{CBDDFF89-83CF-4F9D-A656-4C7F1A9C8E87}"/>
    <cellStyle name="20% - Accent1 2 2 2 2 4" xfId="17638" xr:uid="{4FF0E48A-73B8-4A83-B89A-07037CD16078}"/>
    <cellStyle name="20% - Accent1 2 2 2 2 5" xfId="9163" xr:uid="{DDA22A07-D767-428F-A7E0-CC70092BA31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4414" xr:uid="{E4670BFE-F924-4C7B-9CE9-9BD65507CCE6}"/>
    <cellStyle name="20% - Accent1 2 2 2 3 2 2 3" xfId="15973" xr:uid="{29F62762-2422-42BD-9CC2-A505393D888C}"/>
    <cellStyle name="20% - Accent1 2 2 2 3 2 3" xfId="20196" xr:uid="{9A1E8ACD-4CBA-4D65-8DA2-AA621E7229A5}"/>
    <cellStyle name="20% - Accent1 2 2 2 3 2 4" xfId="11754" xr:uid="{A68BDF6F-1076-4759-BA67-BEB9609BD0B7}"/>
    <cellStyle name="20% - Accent1 2 2 2 3 3" xfId="5334" xr:uid="{00000000-0005-0000-0000-00000C000000}"/>
    <cellStyle name="20% - Accent1 2 2 2 3 3 2" xfId="22269" xr:uid="{C1812ED5-1B0A-47C7-8646-CFA87BA3C957}"/>
    <cellStyle name="20% - Accent1 2 2 2 3 3 3" xfId="13828" xr:uid="{A716727B-FB9A-44B7-8513-E9F016AC1161}"/>
    <cellStyle name="20% - Accent1 2 2 2 3 4" xfId="18051" xr:uid="{C30BE745-3231-4A83-A5D0-465F120057C5}"/>
    <cellStyle name="20% - Accent1 2 2 2 3 5" xfId="9577" xr:uid="{4A5F520D-E40A-4966-9C6C-1BA178B33406}"/>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4827" xr:uid="{0537A00C-A759-4618-AD9A-D608A90689EE}"/>
    <cellStyle name="20% - Accent1 2 2 2 4 2 2 3" xfId="16386" xr:uid="{E3322437-BF13-4266-8057-288928BCD7DD}"/>
    <cellStyle name="20% - Accent1 2 2 2 4 2 3" xfId="20609" xr:uid="{E7173FF8-B3D0-42CB-88C2-5B4913CD62F1}"/>
    <cellStyle name="20% - Accent1 2 2 2 4 2 4" xfId="12167" xr:uid="{ED339FD3-0453-4D1D-B255-E37198B0623C}"/>
    <cellStyle name="20% - Accent1 2 2 2 4 3" xfId="5747" xr:uid="{00000000-0005-0000-0000-000010000000}"/>
    <cellStyle name="20% - Accent1 2 2 2 4 3 2" xfId="22682" xr:uid="{C18A5273-785E-4B75-A1A9-ED89F29B955E}"/>
    <cellStyle name="20% - Accent1 2 2 2 4 3 3" xfId="14241" xr:uid="{AF8DFB29-52F0-4A88-88A6-40B30BF440EB}"/>
    <cellStyle name="20% - Accent1 2 2 2 4 4" xfId="18464" xr:uid="{D95FFE66-9ADE-46E9-9812-044A1A6B94EF}"/>
    <cellStyle name="20% - Accent1 2 2 2 4 5" xfId="9990" xr:uid="{896F91C0-CFA3-4CBE-BCD2-BAF483DD8776}"/>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5240" xr:uid="{4938347E-B529-4E20-A8DF-A6FDCACFE3CA}"/>
    <cellStyle name="20% - Accent1 2 2 2 5 2 2 3" xfId="16799" xr:uid="{C85132AF-4DE5-4730-B7DA-0BED6353618E}"/>
    <cellStyle name="20% - Accent1 2 2 2 5 2 3" xfId="21022" xr:uid="{C6D5116B-AD3F-4F04-91AD-58F1351F784F}"/>
    <cellStyle name="20% - Accent1 2 2 2 5 2 4" xfId="12580" xr:uid="{D9B77AAF-E8F1-4356-BD14-4785028AE330}"/>
    <cellStyle name="20% - Accent1 2 2 2 5 3" xfId="6160" xr:uid="{00000000-0005-0000-0000-000014000000}"/>
    <cellStyle name="20% - Accent1 2 2 2 5 3 2" xfId="23095" xr:uid="{78906E75-FC3D-439E-A9E8-2963330C30F8}"/>
    <cellStyle name="20% - Accent1 2 2 2 5 3 3" xfId="14654" xr:uid="{A92A9D38-CEAC-40B4-9B3A-3276495A868E}"/>
    <cellStyle name="20% - Accent1 2 2 2 5 4" xfId="18877" xr:uid="{8E570194-1E67-4CC2-95B8-435B0AA1F091}"/>
    <cellStyle name="20% - Accent1 2 2 2 5 5" xfId="10403" xr:uid="{2E0A2ABB-1168-4B1C-A985-1AF6C3587A3C}"/>
    <cellStyle name="20% - Accent1 2 2 2 6" xfId="2267" xr:uid="{00000000-0005-0000-0000-000015000000}"/>
    <cellStyle name="20% - Accent1 2 2 2 6 2" xfId="6573" xr:uid="{00000000-0005-0000-0000-000016000000}"/>
    <cellStyle name="20% - Accent1 2 2 2 6 2 2" xfId="23508" xr:uid="{F2F675AE-A81B-455E-8B2D-5F537F96D3BF}"/>
    <cellStyle name="20% - Accent1 2 2 2 6 2 3" xfId="15067" xr:uid="{9A143E44-EE2C-4FFC-856F-CEAF902E9E50}"/>
    <cellStyle name="20% - Accent1 2 2 2 6 3" xfId="19290" xr:uid="{2BC35A4B-5CCF-47CB-AE1E-3A3012ED71F5}"/>
    <cellStyle name="20% - Accent1 2 2 2 6 4" xfId="10816" xr:uid="{F4AA643D-2C32-4599-A727-2F7D74AB0247}"/>
    <cellStyle name="20% - Accent1 2 2 2 7" xfId="4507" xr:uid="{00000000-0005-0000-0000-000017000000}"/>
    <cellStyle name="20% - Accent1 2 2 2 7 2" xfId="21442" xr:uid="{EDBF587C-4B6F-4B11-B1C9-9DC8DCC23D50}"/>
    <cellStyle name="20% - Accent1 2 2 2 7 3" xfId="13001" xr:uid="{13048A79-C207-4731-ABF5-0640604A96F8}"/>
    <cellStyle name="20% - Accent1 2 2 2 8" xfId="17224" xr:uid="{DF39D531-4BD5-4847-80C6-582EA9A6DBFC}"/>
    <cellStyle name="20% - Accent1 2 2 2 9" xfId="8739" xr:uid="{E908835D-3D09-4994-AE81-C0043A6DC628}"/>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4000" xr:uid="{6BB0538D-BA54-4C97-B2C8-2B11075C7BDC}"/>
    <cellStyle name="20% - Accent1 2 2 3 2 2 3" xfId="15559" xr:uid="{9F1717A1-C157-4367-A675-EB13E7493A9C}"/>
    <cellStyle name="20% - Accent1 2 2 3 2 3" xfId="19782" xr:uid="{A1539765-7DB6-44DA-8CE1-B99D9206C4BD}"/>
    <cellStyle name="20% - Accent1 2 2 3 2 4" xfId="11340" xr:uid="{4B2FB2E5-3CC5-49D6-9053-21DBA9A5D01E}"/>
    <cellStyle name="20% - Accent1 2 2 3 3" xfId="4920" xr:uid="{00000000-0005-0000-0000-00001B000000}"/>
    <cellStyle name="20% - Accent1 2 2 3 3 2" xfId="21855" xr:uid="{5B108DE0-0784-4EEC-99F4-9B8DA378FE1C}"/>
    <cellStyle name="20% - Accent1 2 2 3 3 3" xfId="13414" xr:uid="{50A9D79A-4320-44B1-839B-7D21C4041F81}"/>
    <cellStyle name="20% - Accent1 2 2 3 4" xfId="17637" xr:uid="{42CC95E3-16C4-44DA-BB52-36C4F75ACAFF}"/>
    <cellStyle name="20% - Accent1 2 2 3 5" xfId="9162" xr:uid="{81BEBDE0-AC89-4A68-A7EE-B570BA13F12F}"/>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4413" xr:uid="{83B7205C-7DE9-44C0-BF63-03E69CD0F0B1}"/>
    <cellStyle name="20% - Accent1 2 2 4 2 2 3" xfId="15972" xr:uid="{09633B0B-7168-46A9-B9E2-0F5FAE9E4F68}"/>
    <cellStyle name="20% - Accent1 2 2 4 2 3" xfId="20195" xr:uid="{BDA2115D-94B5-4747-ABB9-4B3DE7EC61AB}"/>
    <cellStyle name="20% - Accent1 2 2 4 2 4" xfId="11753" xr:uid="{C6094153-81AC-4633-B34D-F6CD68AA1DE7}"/>
    <cellStyle name="20% - Accent1 2 2 4 3" xfId="5333" xr:uid="{00000000-0005-0000-0000-00001F000000}"/>
    <cellStyle name="20% - Accent1 2 2 4 3 2" xfId="22268" xr:uid="{09056EDC-F95A-4455-9793-EFC1BA186B89}"/>
    <cellStyle name="20% - Accent1 2 2 4 3 3" xfId="13827" xr:uid="{D14F975C-E970-4478-8883-C15923636144}"/>
    <cellStyle name="20% - Accent1 2 2 4 4" xfId="18050" xr:uid="{B2B227EC-E610-49ED-A4E2-509CFF035A5C}"/>
    <cellStyle name="20% - Accent1 2 2 4 5" xfId="9576" xr:uid="{EB230412-3481-46DC-A5C0-10A857364D37}"/>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4826" xr:uid="{6FEFA900-2174-4C0C-B6BB-98A79BF02CA3}"/>
    <cellStyle name="20% - Accent1 2 2 5 2 2 3" xfId="16385" xr:uid="{9B227E0C-7D32-48FA-BFE0-0D3CD91DA5A8}"/>
    <cellStyle name="20% - Accent1 2 2 5 2 3" xfId="20608" xr:uid="{8A2BDB58-84DC-4C55-A14D-F90750C77308}"/>
    <cellStyle name="20% - Accent1 2 2 5 2 4" xfId="12166" xr:uid="{9D306838-D393-4821-B9AF-E94CDC481902}"/>
    <cellStyle name="20% - Accent1 2 2 5 3" xfId="5746" xr:uid="{00000000-0005-0000-0000-000023000000}"/>
    <cellStyle name="20% - Accent1 2 2 5 3 2" xfId="22681" xr:uid="{1AB02C67-1DA4-4781-9323-6DE73CEDA8C8}"/>
    <cellStyle name="20% - Accent1 2 2 5 3 3" xfId="14240" xr:uid="{C151ABC0-F0A7-4B41-8A8D-88568DC0E957}"/>
    <cellStyle name="20% - Accent1 2 2 5 4" xfId="18463" xr:uid="{87A6CFFA-A54F-45CB-A675-4B9EB7446186}"/>
    <cellStyle name="20% - Accent1 2 2 5 5" xfId="9989" xr:uid="{2F1D0A26-1E50-42E9-978E-7527A18629BA}"/>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5239" xr:uid="{1307990F-2C0D-454E-A274-CADCECF20C53}"/>
    <cellStyle name="20% - Accent1 2 2 6 2 2 3" xfId="16798" xr:uid="{186A3AF8-B872-4885-B3B9-4C721EDB1A93}"/>
    <cellStyle name="20% - Accent1 2 2 6 2 3" xfId="21021" xr:uid="{129346B3-DB28-46CF-A6D4-5757F07124E2}"/>
    <cellStyle name="20% - Accent1 2 2 6 2 4" xfId="12579" xr:uid="{438D73F8-AC4D-4040-8E59-D8F7612D76C4}"/>
    <cellStyle name="20% - Accent1 2 2 6 3" xfId="6159" xr:uid="{00000000-0005-0000-0000-000027000000}"/>
    <cellStyle name="20% - Accent1 2 2 6 3 2" xfId="23094" xr:uid="{92008D46-C9B6-481C-A6F3-B77E37B8320D}"/>
    <cellStyle name="20% - Accent1 2 2 6 3 3" xfId="14653" xr:uid="{BE716760-D67B-493D-B659-0663BE475C0F}"/>
    <cellStyle name="20% - Accent1 2 2 6 4" xfId="18876" xr:uid="{CDEB2314-AD22-41E4-86FD-9DB73CFB63BB}"/>
    <cellStyle name="20% - Accent1 2 2 6 5" xfId="10402" xr:uid="{76951789-28B9-40B1-9918-A8369A9A1813}"/>
    <cellStyle name="20% - Accent1 2 2 7" xfId="2266" xr:uid="{00000000-0005-0000-0000-000028000000}"/>
    <cellStyle name="20% - Accent1 2 2 7 2" xfId="6572" xr:uid="{00000000-0005-0000-0000-000029000000}"/>
    <cellStyle name="20% - Accent1 2 2 7 2 2" xfId="23507" xr:uid="{FBAEFA57-30F2-4CC6-B60C-498B1D253939}"/>
    <cellStyle name="20% - Accent1 2 2 7 2 3" xfId="15066" xr:uid="{8274331F-E07C-4AEB-B545-5F716B2B04FC}"/>
    <cellStyle name="20% - Accent1 2 2 7 3" xfId="19289" xr:uid="{B7537C7E-E64F-411B-93BD-FB183F912D7E}"/>
    <cellStyle name="20% - Accent1 2 2 7 4" xfId="10815" xr:uid="{D2043003-D59E-46DC-969D-A8238C65833F}"/>
    <cellStyle name="20% - Accent1 2 2 8" xfId="4506" xr:uid="{00000000-0005-0000-0000-00002A000000}"/>
    <cellStyle name="20% - Accent1 2 2 8 2" xfId="21441" xr:uid="{45BEBE8A-ED90-44AB-8395-C41312FC77C6}"/>
    <cellStyle name="20% - Accent1 2 2 8 3" xfId="13000" xr:uid="{DC18D7F6-F644-480C-AFC1-C40232EF4E90}"/>
    <cellStyle name="20% - Accent1 2 2 9" xfId="17223" xr:uid="{1FCB1D5C-B7B9-480F-B9CB-D023D948852C}"/>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4002" xr:uid="{3A51E5DC-50D8-4E13-9490-9C25FE94A957}"/>
    <cellStyle name="20% - Accent1 2 3 2 2 2 3" xfId="15561" xr:uid="{BFAA1AC4-C52C-4576-BC1D-B910EBCCAD91}"/>
    <cellStyle name="20% - Accent1 2 3 2 2 3" xfId="19784" xr:uid="{F5E51F9D-D024-4144-9FDA-12AB7515E4CB}"/>
    <cellStyle name="20% - Accent1 2 3 2 2 4" xfId="11342" xr:uid="{E86A344E-696B-4FAA-B42F-4EAC9D4DD485}"/>
    <cellStyle name="20% - Accent1 2 3 2 3" xfId="4922" xr:uid="{00000000-0005-0000-0000-00002F000000}"/>
    <cellStyle name="20% - Accent1 2 3 2 3 2" xfId="21857" xr:uid="{BA008773-FBE6-4DE4-ABE5-985108763E6C}"/>
    <cellStyle name="20% - Accent1 2 3 2 3 3" xfId="13416" xr:uid="{0125DBD1-3045-4966-B1FD-0F173DDD659A}"/>
    <cellStyle name="20% - Accent1 2 3 2 4" xfId="17639" xr:uid="{5F3BB24E-D2D6-4329-99DA-597D8C31AB1A}"/>
    <cellStyle name="20% - Accent1 2 3 2 5" xfId="9164" xr:uid="{F39B7A51-2913-4F19-A05B-E2D60A8AD924}"/>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4415" xr:uid="{6D8EF791-9485-497F-BD42-8F6ECB8578E4}"/>
    <cellStyle name="20% - Accent1 2 3 3 2 2 3" xfId="15974" xr:uid="{EA6EF596-667C-44E4-8C3F-8E6B2810418C}"/>
    <cellStyle name="20% - Accent1 2 3 3 2 3" xfId="20197" xr:uid="{F19573E0-6A9E-40B8-B24A-755CC3F0BAAC}"/>
    <cellStyle name="20% - Accent1 2 3 3 2 4" xfId="11755" xr:uid="{B5F6039F-C940-4B2C-A126-2AFBD6CF7CC3}"/>
    <cellStyle name="20% - Accent1 2 3 3 3" xfId="5335" xr:uid="{00000000-0005-0000-0000-000033000000}"/>
    <cellStyle name="20% - Accent1 2 3 3 3 2" xfId="22270" xr:uid="{1B1D05A9-5640-4E9D-BEF1-B4AD476AE4F1}"/>
    <cellStyle name="20% - Accent1 2 3 3 3 3" xfId="13829" xr:uid="{51CC212E-B77E-463C-8B0E-0FC770F884A3}"/>
    <cellStyle name="20% - Accent1 2 3 3 4" xfId="18052" xr:uid="{D624579C-F238-4AAA-A817-07FD05AFD100}"/>
    <cellStyle name="20% - Accent1 2 3 3 5" xfId="9578" xr:uid="{83A402B5-0482-483E-8E47-D4288B73F487}"/>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4828" xr:uid="{D9874A4D-A103-4C80-BEF1-4D7CF4CEF78F}"/>
    <cellStyle name="20% - Accent1 2 3 4 2 2 3" xfId="16387" xr:uid="{83C4D6A6-38E1-4B3C-A606-7051FEC0431A}"/>
    <cellStyle name="20% - Accent1 2 3 4 2 3" xfId="20610" xr:uid="{AB700990-40EF-4D04-9689-7E9FF550E1F8}"/>
    <cellStyle name="20% - Accent1 2 3 4 2 4" xfId="12168" xr:uid="{DF575AC2-3006-4929-ABBD-696AC228A2B2}"/>
    <cellStyle name="20% - Accent1 2 3 4 3" xfId="5748" xr:uid="{00000000-0005-0000-0000-000037000000}"/>
    <cellStyle name="20% - Accent1 2 3 4 3 2" xfId="22683" xr:uid="{B8CD0052-0C4C-42B6-AD37-5452A9FE371A}"/>
    <cellStyle name="20% - Accent1 2 3 4 3 3" xfId="14242" xr:uid="{7018AEC6-371F-4E81-85A7-6F95A4236A98}"/>
    <cellStyle name="20% - Accent1 2 3 4 4" xfId="18465" xr:uid="{58236995-198F-4C71-A3BA-E8965C98B562}"/>
    <cellStyle name="20% - Accent1 2 3 4 5" xfId="9991" xr:uid="{CF2EDE55-BD91-4394-9F04-A62B31C36968}"/>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5241" xr:uid="{C0A8A161-CF4C-4B0F-B02F-78165AC79F72}"/>
    <cellStyle name="20% - Accent1 2 3 5 2 2 3" xfId="16800" xr:uid="{61AFA505-99E1-42EB-BF23-8781C3138E88}"/>
    <cellStyle name="20% - Accent1 2 3 5 2 3" xfId="21023" xr:uid="{791293DC-6B67-43C2-8EB5-1E813CAF5FD2}"/>
    <cellStyle name="20% - Accent1 2 3 5 2 4" xfId="12581" xr:uid="{C7DCBC34-EB7B-410F-AEAC-C9E0BCFF63A6}"/>
    <cellStyle name="20% - Accent1 2 3 5 3" xfId="6161" xr:uid="{00000000-0005-0000-0000-00003B000000}"/>
    <cellStyle name="20% - Accent1 2 3 5 3 2" xfId="23096" xr:uid="{7A782EBC-F644-480F-B084-1D4549CEE207}"/>
    <cellStyle name="20% - Accent1 2 3 5 3 3" xfId="14655" xr:uid="{AEDEAF35-D9C7-42CD-BD23-089D4DD72D57}"/>
    <cellStyle name="20% - Accent1 2 3 5 4" xfId="18878" xr:uid="{B52D6431-DC4D-4AEA-B64C-BA45E9A854C6}"/>
    <cellStyle name="20% - Accent1 2 3 5 5" xfId="10404" xr:uid="{D8E63D01-B263-4676-A569-60F3FB09B9D3}"/>
    <cellStyle name="20% - Accent1 2 3 6" xfId="2268" xr:uid="{00000000-0005-0000-0000-00003C000000}"/>
    <cellStyle name="20% - Accent1 2 3 6 2" xfId="6574" xr:uid="{00000000-0005-0000-0000-00003D000000}"/>
    <cellStyle name="20% - Accent1 2 3 6 2 2" xfId="23509" xr:uid="{763EC3D6-D941-49C8-8F57-9F8D513CB5E4}"/>
    <cellStyle name="20% - Accent1 2 3 6 2 3" xfId="15068" xr:uid="{8DAECA54-FEC9-434F-8288-DD50CC1A7590}"/>
    <cellStyle name="20% - Accent1 2 3 6 3" xfId="19291" xr:uid="{098DBEF9-6829-4853-922D-E1A8F7334FDF}"/>
    <cellStyle name="20% - Accent1 2 3 6 4" xfId="10817" xr:uid="{F84BF46B-0244-46F0-BCAC-620C1C37DAFE}"/>
    <cellStyle name="20% - Accent1 2 3 7" xfId="4508" xr:uid="{00000000-0005-0000-0000-00003E000000}"/>
    <cellStyle name="20% - Accent1 2 3 7 2" xfId="21443" xr:uid="{4D10C151-EFF3-48A4-83BA-9B9D00606DE9}"/>
    <cellStyle name="20% - Accent1 2 3 7 3" xfId="13002" xr:uid="{A0100CF2-B56C-440B-984C-14D17D11709D}"/>
    <cellStyle name="20% - Accent1 2 3 8" xfId="17225" xr:uid="{74C2A07C-F712-48FA-989D-2DA0009836CA}"/>
    <cellStyle name="20% - Accent1 2 3 9" xfId="8740" xr:uid="{43449F38-E338-41E6-82AB-C0E5ABFC4BE2}"/>
    <cellStyle name="20% - Accent1 2 4" xfId="571" xr:uid="{00000000-0005-0000-0000-00003F000000}"/>
    <cellStyle name="20% - Accent1 2 4 2" xfId="2842" xr:uid="{00000000-0005-0000-0000-000040000000}"/>
    <cellStyle name="20% - Accent1 2 4 2 2" xfId="7064" xr:uid="{00000000-0005-0000-0000-000041000000}"/>
    <cellStyle name="20% - Accent1 2 4 2 2 2" xfId="23999" xr:uid="{219CBFC6-F591-44A8-9E03-1909757AEBC8}"/>
    <cellStyle name="20% - Accent1 2 4 2 2 3" xfId="15558" xr:uid="{6B62AC86-133E-48C3-B6DF-01AF83E363F4}"/>
    <cellStyle name="20% - Accent1 2 4 2 3" xfId="19781" xr:uid="{DD9CD9E9-4417-433B-87D4-52AA927041D2}"/>
    <cellStyle name="20% - Accent1 2 4 2 4" xfId="11339" xr:uid="{831F35DA-4A18-475E-9954-094DE4E45AAA}"/>
    <cellStyle name="20% - Accent1 2 4 3" xfId="4919" xr:uid="{00000000-0005-0000-0000-000042000000}"/>
    <cellStyle name="20% - Accent1 2 4 3 2" xfId="21854" xr:uid="{599F5A9E-6AC9-4871-911F-726AF673DA9E}"/>
    <cellStyle name="20% - Accent1 2 4 3 3" xfId="13413" xr:uid="{B06C4B33-EE36-4CBF-ABFC-A934F49FE5C3}"/>
    <cellStyle name="20% - Accent1 2 4 4" xfId="17636" xr:uid="{C67BD1D0-FA76-406C-837B-80FB700750B9}"/>
    <cellStyle name="20% - Accent1 2 4 5" xfId="9161" xr:uid="{EC36A50F-655B-4241-A50A-62ECC187E682}"/>
    <cellStyle name="20% - Accent1 2 5" xfId="1024" xr:uid="{00000000-0005-0000-0000-000043000000}"/>
    <cellStyle name="20% - Accent1 2 5 2" xfId="3255" xr:uid="{00000000-0005-0000-0000-000044000000}"/>
    <cellStyle name="20% - Accent1 2 5 2 2" xfId="7477" xr:uid="{00000000-0005-0000-0000-000045000000}"/>
    <cellStyle name="20% - Accent1 2 5 2 2 2" xfId="24412" xr:uid="{8DB2855F-92DD-40C1-9184-6826404DE432}"/>
    <cellStyle name="20% - Accent1 2 5 2 2 3" xfId="15971" xr:uid="{101A4493-7D69-40E4-A6E2-EBDEB28FC78A}"/>
    <cellStyle name="20% - Accent1 2 5 2 3" xfId="20194" xr:uid="{35D12647-0BF8-4BD0-A9A7-186279F41005}"/>
    <cellStyle name="20% - Accent1 2 5 2 4" xfId="11752" xr:uid="{F8813698-CE8A-4257-A152-8B04D404BD19}"/>
    <cellStyle name="20% - Accent1 2 5 3" xfId="5332" xr:uid="{00000000-0005-0000-0000-000046000000}"/>
    <cellStyle name="20% - Accent1 2 5 3 2" xfId="22267" xr:uid="{9431E28C-F066-4F4F-AB3C-D107630338C6}"/>
    <cellStyle name="20% - Accent1 2 5 3 3" xfId="13826" xr:uid="{3B017061-FAF9-4FDF-913E-0CD0D2606C50}"/>
    <cellStyle name="20% - Accent1 2 5 4" xfId="18049" xr:uid="{4392462B-3C12-468D-97AD-16E15670752A}"/>
    <cellStyle name="20% - Accent1 2 5 5" xfId="9575" xr:uid="{B9D02C0F-720A-48F7-B950-2E031B965D91}"/>
    <cellStyle name="20% - Accent1 2 6" xfId="1438" xr:uid="{00000000-0005-0000-0000-000047000000}"/>
    <cellStyle name="20% - Accent1 2 6 2" xfId="3668" xr:uid="{00000000-0005-0000-0000-000048000000}"/>
    <cellStyle name="20% - Accent1 2 6 2 2" xfId="7890" xr:uid="{00000000-0005-0000-0000-000049000000}"/>
    <cellStyle name="20% - Accent1 2 6 2 2 2" xfId="24825" xr:uid="{2A5D851D-550B-4125-9C79-501ACCB0AAED}"/>
    <cellStyle name="20% - Accent1 2 6 2 2 3" xfId="16384" xr:uid="{51FC21AA-1F91-4075-B8BE-FD9CE03E4D8F}"/>
    <cellStyle name="20% - Accent1 2 6 2 3" xfId="20607" xr:uid="{80AFFC3A-BC42-4F4E-A6DC-799722CB9409}"/>
    <cellStyle name="20% - Accent1 2 6 2 4" xfId="12165" xr:uid="{9C25D8B6-BC99-4B4E-9ECA-94E73CDE6BF6}"/>
    <cellStyle name="20% - Accent1 2 6 3" xfId="5745" xr:uid="{00000000-0005-0000-0000-00004A000000}"/>
    <cellStyle name="20% - Accent1 2 6 3 2" xfId="22680" xr:uid="{624D5B4A-CDE2-4ADA-884D-50489A286C1B}"/>
    <cellStyle name="20% - Accent1 2 6 3 3" xfId="14239" xr:uid="{93417D06-2BE2-44D1-B63A-9C9BBECD9C55}"/>
    <cellStyle name="20% - Accent1 2 6 4" xfId="18462" xr:uid="{34F1552B-E582-4481-A6AC-8FB4A019D622}"/>
    <cellStyle name="20% - Accent1 2 6 5" xfId="9988" xr:uid="{A00E7204-CCEA-4A45-829D-4B0967757EFF}"/>
    <cellStyle name="20% - Accent1 2 7" xfId="1852" xr:uid="{00000000-0005-0000-0000-00004B000000}"/>
    <cellStyle name="20% - Accent1 2 7 2" xfId="4081" xr:uid="{00000000-0005-0000-0000-00004C000000}"/>
    <cellStyle name="20% - Accent1 2 7 2 2" xfId="8303" xr:uid="{00000000-0005-0000-0000-00004D000000}"/>
    <cellStyle name="20% - Accent1 2 7 2 2 2" xfId="25238" xr:uid="{8542AF92-337B-43AF-929F-2E5D3A7E8B49}"/>
    <cellStyle name="20% - Accent1 2 7 2 2 3" xfId="16797" xr:uid="{F5E35C02-8D00-4DD3-B173-360A2B54E23D}"/>
    <cellStyle name="20% - Accent1 2 7 2 3" xfId="21020" xr:uid="{7CDBB3C0-E015-4542-A626-43B9D1BEE656}"/>
    <cellStyle name="20% - Accent1 2 7 2 4" xfId="12578" xr:uid="{515F3017-372B-48A4-A535-80AE25636F2E}"/>
    <cellStyle name="20% - Accent1 2 7 3" xfId="6158" xr:uid="{00000000-0005-0000-0000-00004E000000}"/>
    <cellStyle name="20% - Accent1 2 7 3 2" xfId="23093" xr:uid="{4ACB0E4F-C1F7-4A16-BEBA-98A665393398}"/>
    <cellStyle name="20% - Accent1 2 7 3 3" xfId="14652" xr:uid="{B1A5D7A1-4756-4CBE-B7BF-24EB10641083}"/>
    <cellStyle name="20% - Accent1 2 7 4" xfId="18875" xr:uid="{4472C68A-6CA6-454E-B326-DCD332785EE2}"/>
    <cellStyle name="20% - Accent1 2 7 5" xfId="10401" xr:uid="{66EFCD7C-2544-44C2-A43A-F7FE47EAB800}"/>
    <cellStyle name="20% - Accent1 2 8" xfId="2265" xr:uid="{00000000-0005-0000-0000-00004F000000}"/>
    <cellStyle name="20% - Accent1 2 8 2" xfId="6571" xr:uid="{00000000-0005-0000-0000-000050000000}"/>
    <cellStyle name="20% - Accent1 2 8 2 2" xfId="23506" xr:uid="{57616282-5F1A-4A40-97BB-83D6D3437AA3}"/>
    <cellStyle name="20% - Accent1 2 8 2 3" xfId="15065" xr:uid="{13D79170-6A51-42B4-A567-06C890BCED53}"/>
    <cellStyle name="20% - Accent1 2 8 3" xfId="19288" xr:uid="{14496315-2868-440B-9372-17D66F3371D3}"/>
    <cellStyle name="20% - Accent1 2 8 4" xfId="10814" xr:uid="{EA52FD04-B0CB-4E4C-932F-6BD6252F7B43}"/>
    <cellStyle name="20% - Accent1 2 9" xfId="4505" xr:uid="{00000000-0005-0000-0000-000051000000}"/>
    <cellStyle name="20% - Accent1 2 9 2" xfId="21440" xr:uid="{3D07C254-F2D0-4788-B238-C5F67A9ACF80}"/>
    <cellStyle name="20% - Accent1 2 9 3" xfId="12999" xr:uid="{A2235150-EE00-4D82-9A41-C7C30E2667CE}"/>
    <cellStyle name="20% - Accent1 3" xfId="6" xr:uid="{00000000-0005-0000-0000-000052000000}"/>
    <cellStyle name="20% - Accent1 3 10" xfId="8741" xr:uid="{16BD9DB6-8C73-4627-B171-066E4C09F8DA}"/>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4004" xr:uid="{046471A9-6E5A-4263-82D5-031F6CCD842A}"/>
    <cellStyle name="20% - Accent1 3 2 2 2 2 3" xfId="15563" xr:uid="{DEF8154C-C2E1-45D5-8FCF-6206836CD6E3}"/>
    <cellStyle name="20% - Accent1 3 2 2 2 3" xfId="19786" xr:uid="{DFF74BB9-A9D5-4F63-AC53-E91F5347DD05}"/>
    <cellStyle name="20% - Accent1 3 2 2 2 4" xfId="11344" xr:uid="{0A887038-D755-445F-8C27-A9AD7FB3C344}"/>
    <cellStyle name="20% - Accent1 3 2 2 3" xfId="4924" xr:uid="{00000000-0005-0000-0000-000057000000}"/>
    <cellStyle name="20% - Accent1 3 2 2 3 2" xfId="21859" xr:uid="{D984A03E-E37F-4ADB-847F-B6413F7973C4}"/>
    <cellStyle name="20% - Accent1 3 2 2 3 3" xfId="13418" xr:uid="{BF8BBAFF-2645-444C-9434-B1EA9E250AF8}"/>
    <cellStyle name="20% - Accent1 3 2 2 4" xfId="17641" xr:uid="{0B9439D8-45D5-4D60-B526-FBCFD9C44B3E}"/>
    <cellStyle name="20% - Accent1 3 2 2 5" xfId="9166" xr:uid="{AD333FC6-4268-4F19-ABA4-A7254908282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4417" xr:uid="{15451379-6301-4B14-BAC8-D427A548F78A}"/>
    <cellStyle name="20% - Accent1 3 2 3 2 2 3" xfId="15976" xr:uid="{9DA8E9F4-8430-4867-9186-36FBF5EBC5FB}"/>
    <cellStyle name="20% - Accent1 3 2 3 2 3" xfId="20199" xr:uid="{A5227467-0A9A-45E4-BFA0-87066169F8FC}"/>
    <cellStyle name="20% - Accent1 3 2 3 2 4" xfId="11757" xr:uid="{28AF4E96-C0A7-4077-98C2-C721DA98D3DF}"/>
    <cellStyle name="20% - Accent1 3 2 3 3" xfId="5337" xr:uid="{00000000-0005-0000-0000-00005B000000}"/>
    <cellStyle name="20% - Accent1 3 2 3 3 2" xfId="22272" xr:uid="{4C9F99A5-BDCA-4975-871A-376DD029F0EA}"/>
    <cellStyle name="20% - Accent1 3 2 3 3 3" xfId="13831" xr:uid="{FBE2E8AC-F9D8-4779-9EF5-74D3AAD4C0FD}"/>
    <cellStyle name="20% - Accent1 3 2 3 4" xfId="18054" xr:uid="{96BB612B-64D5-4656-B7C8-21F2334283F3}"/>
    <cellStyle name="20% - Accent1 3 2 3 5" xfId="9580" xr:uid="{F2FAB07E-1F82-4F1B-AEC1-2741AD3EA908}"/>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4830" xr:uid="{67906CA9-6711-4131-BE1A-AC0B7C639B48}"/>
    <cellStyle name="20% - Accent1 3 2 4 2 2 3" xfId="16389" xr:uid="{1B7749B4-B376-4776-8293-791C5143599F}"/>
    <cellStyle name="20% - Accent1 3 2 4 2 3" xfId="20612" xr:uid="{C0866B2B-14FD-4745-8B56-B5C0525DD8A8}"/>
    <cellStyle name="20% - Accent1 3 2 4 2 4" xfId="12170" xr:uid="{5CDDDEB2-B369-480D-85C4-241A2CDCCA19}"/>
    <cellStyle name="20% - Accent1 3 2 4 3" xfId="5750" xr:uid="{00000000-0005-0000-0000-00005F000000}"/>
    <cellStyle name="20% - Accent1 3 2 4 3 2" xfId="22685" xr:uid="{FCA36D0B-2A8C-4AD2-AFE5-A0EA6D3A41E3}"/>
    <cellStyle name="20% - Accent1 3 2 4 3 3" xfId="14244" xr:uid="{6B479EC1-9081-4990-8D04-8151764DB203}"/>
    <cellStyle name="20% - Accent1 3 2 4 4" xfId="18467" xr:uid="{3F2441AF-F058-4221-9DF1-04E31E87F6AE}"/>
    <cellStyle name="20% - Accent1 3 2 4 5" xfId="9993" xr:uid="{DEA877F4-DF72-438D-B7F1-0EE3AF6DCAE7}"/>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5243" xr:uid="{10BB408D-22FA-4F9E-9DE9-933A06940167}"/>
    <cellStyle name="20% - Accent1 3 2 5 2 2 3" xfId="16802" xr:uid="{0FB9461A-6F4B-44BA-9F58-3F26FC056FC1}"/>
    <cellStyle name="20% - Accent1 3 2 5 2 3" xfId="21025" xr:uid="{2B186F2E-4B73-4805-A90E-929AF0E07203}"/>
    <cellStyle name="20% - Accent1 3 2 5 2 4" xfId="12583" xr:uid="{10D96A14-A549-4CB0-9BB1-6D500882F172}"/>
    <cellStyle name="20% - Accent1 3 2 5 3" xfId="6163" xr:uid="{00000000-0005-0000-0000-000063000000}"/>
    <cellStyle name="20% - Accent1 3 2 5 3 2" xfId="23098" xr:uid="{6A74A884-3A33-4713-96E2-06D093D3E792}"/>
    <cellStyle name="20% - Accent1 3 2 5 3 3" xfId="14657" xr:uid="{E232A077-963D-4C49-ACC0-B0F5A06CEEBB}"/>
    <cellStyle name="20% - Accent1 3 2 5 4" xfId="18880" xr:uid="{E1DD2D12-DFFA-4F94-8721-A8FF8F6A59B4}"/>
    <cellStyle name="20% - Accent1 3 2 5 5" xfId="10406" xr:uid="{039754EC-C6A5-4113-B113-AF7657F67331}"/>
    <cellStyle name="20% - Accent1 3 2 6" xfId="2270" xr:uid="{00000000-0005-0000-0000-000064000000}"/>
    <cellStyle name="20% - Accent1 3 2 6 2" xfId="6576" xr:uid="{00000000-0005-0000-0000-000065000000}"/>
    <cellStyle name="20% - Accent1 3 2 6 2 2" xfId="23511" xr:uid="{1E9B27A2-CEAB-4FDB-A159-AE6DB4CC299B}"/>
    <cellStyle name="20% - Accent1 3 2 6 2 3" xfId="15070" xr:uid="{0BECFEB4-780D-4549-88BB-D759DFCCDBD2}"/>
    <cellStyle name="20% - Accent1 3 2 6 3" xfId="19293" xr:uid="{6368A3B8-E10B-43D1-866B-A3E0476295AB}"/>
    <cellStyle name="20% - Accent1 3 2 6 4" xfId="10819" xr:uid="{9BCD6119-C712-4132-9ED2-63038DAF90AB}"/>
    <cellStyle name="20% - Accent1 3 2 7" xfId="4510" xr:uid="{00000000-0005-0000-0000-000066000000}"/>
    <cellStyle name="20% - Accent1 3 2 7 2" xfId="21445" xr:uid="{CE24E171-720E-401B-A26A-4B51DD644048}"/>
    <cellStyle name="20% - Accent1 3 2 7 3" xfId="13004" xr:uid="{344F05F0-9B18-4CDA-B6CC-6D5D8D6689F0}"/>
    <cellStyle name="20% - Accent1 3 2 8" xfId="17227" xr:uid="{28ED8D6E-D0CA-48AE-9326-DC45FB452B67}"/>
    <cellStyle name="20% - Accent1 3 2 9" xfId="8742" xr:uid="{20F95108-A7C9-46B8-8927-5EEEA42A3301}"/>
    <cellStyle name="20% - Accent1 3 3" xfId="575" xr:uid="{00000000-0005-0000-0000-000067000000}"/>
    <cellStyle name="20% - Accent1 3 3 2" xfId="2846" xr:uid="{00000000-0005-0000-0000-000068000000}"/>
    <cellStyle name="20% - Accent1 3 3 2 2" xfId="7068" xr:uid="{00000000-0005-0000-0000-000069000000}"/>
    <cellStyle name="20% - Accent1 3 3 2 2 2" xfId="24003" xr:uid="{631FBAC7-FA04-4F00-B79F-E9D792F9A4FA}"/>
    <cellStyle name="20% - Accent1 3 3 2 2 3" xfId="15562" xr:uid="{CC3A020C-CD2C-409B-84E5-DA605F45E606}"/>
    <cellStyle name="20% - Accent1 3 3 2 3" xfId="19785" xr:uid="{ACF7E280-D42F-440A-BDEA-D7751BDC7999}"/>
    <cellStyle name="20% - Accent1 3 3 2 4" xfId="11343" xr:uid="{3498A057-1FE7-422B-B9FF-3C5B8D20E187}"/>
    <cellStyle name="20% - Accent1 3 3 3" xfId="4923" xr:uid="{00000000-0005-0000-0000-00006A000000}"/>
    <cellStyle name="20% - Accent1 3 3 3 2" xfId="21858" xr:uid="{217180A5-32D4-44D3-9D89-F2E894C693C6}"/>
    <cellStyle name="20% - Accent1 3 3 3 3" xfId="13417" xr:uid="{0D98454B-735B-428C-A523-9050EF1CA4F9}"/>
    <cellStyle name="20% - Accent1 3 3 4" xfId="17640" xr:uid="{47E2F4D8-FE34-400E-810F-3606C0E1618F}"/>
    <cellStyle name="20% - Accent1 3 3 5" xfId="9165" xr:uid="{7B0785BE-BFDB-4D52-A768-59BB22F26651}"/>
    <cellStyle name="20% - Accent1 3 4" xfId="1028" xr:uid="{00000000-0005-0000-0000-00006B000000}"/>
    <cellStyle name="20% - Accent1 3 4 2" xfId="3259" xr:uid="{00000000-0005-0000-0000-00006C000000}"/>
    <cellStyle name="20% - Accent1 3 4 2 2" xfId="7481" xr:uid="{00000000-0005-0000-0000-00006D000000}"/>
    <cellStyle name="20% - Accent1 3 4 2 2 2" xfId="24416" xr:uid="{3316E77F-E56A-4B36-BF31-FCF3F0296246}"/>
    <cellStyle name="20% - Accent1 3 4 2 2 3" xfId="15975" xr:uid="{ACC029F9-7AFD-41D3-A7FA-9820C7881B4D}"/>
    <cellStyle name="20% - Accent1 3 4 2 3" xfId="20198" xr:uid="{1271BF4B-839E-4868-80BB-6C7A6B820FD7}"/>
    <cellStyle name="20% - Accent1 3 4 2 4" xfId="11756" xr:uid="{6F15F71F-3E9A-49EC-B3F8-12B81840071E}"/>
    <cellStyle name="20% - Accent1 3 4 3" xfId="5336" xr:uid="{00000000-0005-0000-0000-00006E000000}"/>
    <cellStyle name="20% - Accent1 3 4 3 2" xfId="22271" xr:uid="{3B228967-3ABC-4C2E-8E5A-C600D84FB778}"/>
    <cellStyle name="20% - Accent1 3 4 3 3" xfId="13830" xr:uid="{D5BC0949-20BA-4FE6-8123-15541F8DEB67}"/>
    <cellStyle name="20% - Accent1 3 4 4" xfId="18053" xr:uid="{733F9BF2-D6EF-47A9-AB96-7FE7F1D7FBCF}"/>
    <cellStyle name="20% - Accent1 3 4 5" xfId="9579" xr:uid="{5238EC1C-FA66-4769-897A-BA770D4D0B1C}"/>
    <cellStyle name="20% - Accent1 3 5" xfId="1442" xr:uid="{00000000-0005-0000-0000-00006F000000}"/>
    <cellStyle name="20% - Accent1 3 5 2" xfId="3672" xr:uid="{00000000-0005-0000-0000-000070000000}"/>
    <cellStyle name="20% - Accent1 3 5 2 2" xfId="7894" xr:uid="{00000000-0005-0000-0000-000071000000}"/>
    <cellStyle name="20% - Accent1 3 5 2 2 2" xfId="24829" xr:uid="{2CED187D-35A4-4ECB-B2FA-E4DC67D1A432}"/>
    <cellStyle name="20% - Accent1 3 5 2 2 3" xfId="16388" xr:uid="{20EE37E4-2196-4853-9E9F-1926F9EBD7B0}"/>
    <cellStyle name="20% - Accent1 3 5 2 3" xfId="20611" xr:uid="{074976E6-806F-49A7-B0C1-34B077E7E00C}"/>
    <cellStyle name="20% - Accent1 3 5 2 4" xfId="12169" xr:uid="{738C3F95-3DFD-44A6-8E8A-CEF812C1C596}"/>
    <cellStyle name="20% - Accent1 3 5 3" xfId="5749" xr:uid="{00000000-0005-0000-0000-000072000000}"/>
    <cellStyle name="20% - Accent1 3 5 3 2" xfId="22684" xr:uid="{B0CF991D-373F-456E-8269-E3EDB5F92C6A}"/>
    <cellStyle name="20% - Accent1 3 5 3 3" xfId="14243" xr:uid="{A6982961-38DB-4A88-A9BC-4113A72395C4}"/>
    <cellStyle name="20% - Accent1 3 5 4" xfId="18466" xr:uid="{C9D1972A-5FC5-4214-960A-8C409201CFB9}"/>
    <cellStyle name="20% - Accent1 3 5 5" xfId="9992" xr:uid="{87963FEA-6227-4548-8516-1656E766548F}"/>
    <cellStyle name="20% - Accent1 3 6" xfId="1856" xr:uid="{00000000-0005-0000-0000-000073000000}"/>
    <cellStyle name="20% - Accent1 3 6 2" xfId="4085" xr:uid="{00000000-0005-0000-0000-000074000000}"/>
    <cellStyle name="20% - Accent1 3 6 2 2" xfId="8307" xr:uid="{00000000-0005-0000-0000-000075000000}"/>
    <cellStyle name="20% - Accent1 3 6 2 2 2" xfId="25242" xr:uid="{3BC602DF-FBEE-44AA-8FC4-4FA3808AACA9}"/>
    <cellStyle name="20% - Accent1 3 6 2 2 3" xfId="16801" xr:uid="{26E8C6FC-CFB7-4035-A596-A16F960826B7}"/>
    <cellStyle name="20% - Accent1 3 6 2 3" xfId="21024" xr:uid="{6907F2A1-B230-4433-9B5C-9AEA520DF2C4}"/>
    <cellStyle name="20% - Accent1 3 6 2 4" xfId="12582" xr:uid="{42B62520-F4EE-4089-B1BA-549CC999693E}"/>
    <cellStyle name="20% - Accent1 3 6 3" xfId="6162" xr:uid="{00000000-0005-0000-0000-000076000000}"/>
    <cellStyle name="20% - Accent1 3 6 3 2" xfId="23097" xr:uid="{2CCC1AAE-3A15-430E-8850-577CF655EF9E}"/>
    <cellStyle name="20% - Accent1 3 6 3 3" xfId="14656" xr:uid="{AEB5BAB1-F93B-4C6C-8EAE-1A5F7491967E}"/>
    <cellStyle name="20% - Accent1 3 6 4" xfId="18879" xr:uid="{AB8E72EF-84B6-4025-A6E7-F52CFA7500E5}"/>
    <cellStyle name="20% - Accent1 3 6 5" xfId="10405" xr:uid="{DA2D7E01-F67E-4AED-B26E-211A2A21E982}"/>
    <cellStyle name="20% - Accent1 3 7" xfId="2269" xr:uid="{00000000-0005-0000-0000-000077000000}"/>
    <cellStyle name="20% - Accent1 3 7 2" xfId="6575" xr:uid="{00000000-0005-0000-0000-000078000000}"/>
    <cellStyle name="20% - Accent1 3 7 2 2" xfId="23510" xr:uid="{E147945D-0B6B-4B0B-99A2-371E70AA50F4}"/>
    <cellStyle name="20% - Accent1 3 7 2 3" xfId="15069" xr:uid="{7AA6CF82-410A-4123-B6C9-E5582A6AE8BB}"/>
    <cellStyle name="20% - Accent1 3 7 3" xfId="19292" xr:uid="{62F4D717-237B-4B5C-BAF7-6595A68035B7}"/>
    <cellStyle name="20% - Accent1 3 7 4" xfId="10818" xr:uid="{7C7D7C3C-DD95-4D4B-8284-A2AF73EB16B4}"/>
    <cellStyle name="20% - Accent1 3 8" xfId="4509" xr:uid="{00000000-0005-0000-0000-000079000000}"/>
    <cellStyle name="20% - Accent1 3 8 2" xfId="21444" xr:uid="{BE185AD6-BD45-4F76-8068-B39814208A49}"/>
    <cellStyle name="20% - Accent1 3 8 3" xfId="13003" xr:uid="{89380620-E1ED-4F59-923D-88A5034B13EB}"/>
    <cellStyle name="20% - Accent1 3 9" xfId="17226" xr:uid="{DA72133B-792B-4168-ACA2-22A3C3D1D8EB}"/>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24005" xr:uid="{92746E4C-8D1D-4201-A265-37FB5FE9FF73}"/>
    <cellStyle name="20% - Accent1 4 2 2 2 3" xfId="15564" xr:uid="{F7124891-5C10-4CF5-9DE5-6373DDC3FA96}"/>
    <cellStyle name="20% - Accent1 4 2 2 3" xfId="19787" xr:uid="{4B5AC7EE-5B71-4C6F-AE31-AAFF50E2EC72}"/>
    <cellStyle name="20% - Accent1 4 2 2 4" xfId="11345" xr:uid="{E1701CBC-85C8-48C3-BEF7-2B87BC1F5B89}"/>
    <cellStyle name="20% - Accent1 4 2 3" xfId="4925" xr:uid="{00000000-0005-0000-0000-00007E000000}"/>
    <cellStyle name="20% - Accent1 4 2 3 2" xfId="21860" xr:uid="{D7DF5EA3-E111-4409-8277-050225A44E32}"/>
    <cellStyle name="20% - Accent1 4 2 3 3" xfId="13419" xr:uid="{4D921EE0-3F24-4482-8842-F4EBA2B1F078}"/>
    <cellStyle name="20% - Accent1 4 2 4" xfId="17642" xr:uid="{5DE9B954-4ED6-4C67-AF84-8F1D0507F8DF}"/>
    <cellStyle name="20% - Accent1 4 2 5" xfId="9167" xr:uid="{51A5EE2B-BB0F-468E-9B77-5040850786E8}"/>
    <cellStyle name="20% - Accent1 4 3" xfId="1030" xr:uid="{00000000-0005-0000-0000-00007F000000}"/>
    <cellStyle name="20% - Accent1 4 3 2" xfId="3261" xr:uid="{00000000-0005-0000-0000-000080000000}"/>
    <cellStyle name="20% - Accent1 4 3 2 2" xfId="7483" xr:uid="{00000000-0005-0000-0000-000081000000}"/>
    <cellStyle name="20% - Accent1 4 3 2 2 2" xfId="24418" xr:uid="{A9AC5E4B-B9AA-4BD9-9BE1-B28379BDF709}"/>
    <cellStyle name="20% - Accent1 4 3 2 2 3" xfId="15977" xr:uid="{45DC9C8A-276D-4BA9-BBCF-1738B2F0DD4A}"/>
    <cellStyle name="20% - Accent1 4 3 2 3" xfId="20200" xr:uid="{DDD42970-E5C1-499B-9AF8-33A295CB2A7F}"/>
    <cellStyle name="20% - Accent1 4 3 2 4" xfId="11758" xr:uid="{02D43B92-86C4-4945-85AC-5C4D8E410A4A}"/>
    <cellStyle name="20% - Accent1 4 3 3" xfId="5338" xr:uid="{00000000-0005-0000-0000-000082000000}"/>
    <cellStyle name="20% - Accent1 4 3 3 2" xfId="22273" xr:uid="{BD8AC590-F377-4B73-BC4F-DED32395DEEC}"/>
    <cellStyle name="20% - Accent1 4 3 3 3" xfId="13832" xr:uid="{BCBDCF42-6368-4DDF-99FF-E8158A8EB9F2}"/>
    <cellStyle name="20% - Accent1 4 3 4" xfId="18055" xr:uid="{731E56ED-A12E-4E00-A7B2-B6E6805FE9D4}"/>
    <cellStyle name="20% - Accent1 4 3 5" xfId="9581" xr:uid="{06FD0FC3-0E25-445C-8EC2-F2A07839CC1F}"/>
    <cellStyle name="20% - Accent1 4 4" xfId="1444" xr:uid="{00000000-0005-0000-0000-000083000000}"/>
    <cellStyle name="20% - Accent1 4 4 2" xfId="3674" xr:uid="{00000000-0005-0000-0000-000084000000}"/>
    <cellStyle name="20% - Accent1 4 4 2 2" xfId="7896" xr:uid="{00000000-0005-0000-0000-000085000000}"/>
    <cellStyle name="20% - Accent1 4 4 2 2 2" xfId="24831" xr:uid="{41DF6604-E9B3-4BB1-8783-A1CBE117080B}"/>
    <cellStyle name="20% - Accent1 4 4 2 2 3" xfId="16390" xr:uid="{A314472F-CD04-493E-811C-1A86673B6EC4}"/>
    <cellStyle name="20% - Accent1 4 4 2 3" xfId="20613" xr:uid="{8476B466-7B7F-4FDD-AEE9-B088A6CFF0A1}"/>
    <cellStyle name="20% - Accent1 4 4 2 4" xfId="12171" xr:uid="{453735E4-63E6-4912-BB0D-17242758EAE6}"/>
    <cellStyle name="20% - Accent1 4 4 3" xfId="5751" xr:uid="{00000000-0005-0000-0000-000086000000}"/>
    <cellStyle name="20% - Accent1 4 4 3 2" xfId="22686" xr:uid="{3C7FDBAE-1473-427D-9976-A55DA8404EDD}"/>
    <cellStyle name="20% - Accent1 4 4 3 3" xfId="14245" xr:uid="{A9A4B165-73E0-473A-A246-ABF046BA8D13}"/>
    <cellStyle name="20% - Accent1 4 4 4" xfId="18468" xr:uid="{3CA754F7-9F00-4153-830A-9BD262AB16ED}"/>
    <cellStyle name="20% - Accent1 4 4 5" xfId="9994" xr:uid="{3120B741-8B3E-4A33-9D76-F2CD18C9C1A9}"/>
    <cellStyle name="20% - Accent1 4 5" xfId="1858" xr:uid="{00000000-0005-0000-0000-000087000000}"/>
    <cellStyle name="20% - Accent1 4 5 2" xfId="4087" xr:uid="{00000000-0005-0000-0000-000088000000}"/>
    <cellStyle name="20% - Accent1 4 5 2 2" xfId="8309" xr:uid="{00000000-0005-0000-0000-000089000000}"/>
    <cellStyle name="20% - Accent1 4 5 2 2 2" xfId="25244" xr:uid="{B7DE021C-0F75-42F9-9661-A0EBDA3A76BD}"/>
    <cellStyle name="20% - Accent1 4 5 2 2 3" xfId="16803" xr:uid="{C00D499A-06D1-43DA-A375-10066A3F23B6}"/>
    <cellStyle name="20% - Accent1 4 5 2 3" xfId="21026" xr:uid="{14E2D80F-DD7E-4191-AB6C-2A6A2B4C3726}"/>
    <cellStyle name="20% - Accent1 4 5 2 4" xfId="12584" xr:uid="{E082A274-6A8D-406D-86FA-FADE0F3DF3F1}"/>
    <cellStyle name="20% - Accent1 4 5 3" xfId="6164" xr:uid="{00000000-0005-0000-0000-00008A000000}"/>
    <cellStyle name="20% - Accent1 4 5 3 2" xfId="23099" xr:uid="{8BEDAC20-CE68-4241-A532-BE1F5CF2E814}"/>
    <cellStyle name="20% - Accent1 4 5 3 3" xfId="14658" xr:uid="{F6E4C772-078B-48DE-AA91-3EFE9E323C96}"/>
    <cellStyle name="20% - Accent1 4 5 4" xfId="18881" xr:uid="{58138137-F8C6-4D6B-925B-387AA801B252}"/>
    <cellStyle name="20% - Accent1 4 5 5" xfId="10407" xr:uid="{81B36D8C-64B3-4A5F-A986-3E71E3E284D3}"/>
    <cellStyle name="20% - Accent1 4 6" xfId="2271" xr:uid="{00000000-0005-0000-0000-00008B000000}"/>
    <cellStyle name="20% - Accent1 4 6 2" xfId="6577" xr:uid="{00000000-0005-0000-0000-00008C000000}"/>
    <cellStyle name="20% - Accent1 4 6 2 2" xfId="23512" xr:uid="{B9823FD8-5842-458E-A68B-C414958634A5}"/>
    <cellStyle name="20% - Accent1 4 6 2 3" xfId="15071" xr:uid="{578992B5-FFC3-4AF2-8F3C-E8CA5EEE5D88}"/>
    <cellStyle name="20% - Accent1 4 6 3" xfId="19294" xr:uid="{19BAD533-B67D-41B3-B9B3-FDED51812EAD}"/>
    <cellStyle name="20% - Accent1 4 6 4" xfId="10820" xr:uid="{E55D983F-3D48-44FC-BEAF-9D98E49D38B2}"/>
    <cellStyle name="20% - Accent1 4 7" xfId="4511" xr:uid="{00000000-0005-0000-0000-00008D000000}"/>
    <cellStyle name="20% - Accent1 4 7 2" xfId="21446" xr:uid="{9B3F9A8C-0C1E-4ECA-B232-3043BA7EA71A}"/>
    <cellStyle name="20% - Accent1 4 7 3" xfId="13005" xr:uid="{4ABF7206-D243-4C2B-B5D6-91406B098F2C}"/>
    <cellStyle name="20% - Accent1 4 8" xfId="17228" xr:uid="{CED26BE3-DB6A-4544-B944-F64647CB08F4}"/>
    <cellStyle name="20% - Accent1 4 9" xfId="8743" xr:uid="{2882EEBF-D93B-4136-973A-BCAE0106D939}"/>
    <cellStyle name="20% - Accent1 5" xfId="570" xr:uid="{00000000-0005-0000-0000-00008E000000}"/>
    <cellStyle name="20% - Accent1 5 2" xfId="2841" xr:uid="{00000000-0005-0000-0000-00008F000000}"/>
    <cellStyle name="20% - Accent1 5 2 2" xfId="7063" xr:uid="{00000000-0005-0000-0000-000090000000}"/>
    <cellStyle name="20% - Accent1 5 2 2 2" xfId="23998" xr:uid="{56510700-3506-4C3A-A468-A7EBD69B269E}"/>
    <cellStyle name="20% - Accent1 5 2 2 3" xfId="15557" xr:uid="{53DE47B3-D9FB-40CB-A41E-48BB8B85E9CD}"/>
    <cellStyle name="20% - Accent1 5 2 3" xfId="19780" xr:uid="{9E4BD068-73D4-48F6-8207-D6A4512670A2}"/>
    <cellStyle name="20% - Accent1 5 2 4" xfId="11338" xr:uid="{4E240685-2EE5-435A-9C4B-F14203A6A82D}"/>
    <cellStyle name="20% - Accent1 5 3" xfId="4918" xr:uid="{00000000-0005-0000-0000-000091000000}"/>
    <cellStyle name="20% - Accent1 5 3 2" xfId="21853" xr:uid="{72718ACF-3465-4AD2-8D1E-6328D0AA4F8F}"/>
    <cellStyle name="20% - Accent1 5 3 3" xfId="13412" xr:uid="{32413474-79CB-4CF7-B504-1EA2B45405ED}"/>
    <cellStyle name="20% - Accent1 5 4" xfId="17635" xr:uid="{43A571D9-0360-41BA-9721-F09CB422F596}"/>
    <cellStyle name="20% - Accent1 5 5" xfId="9160" xr:uid="{9A7F17C2-0C3A-4A11-BCBC-83BD5D3A623A}"/>
    <cellStyle name="20% - Accent1 6" xfId="1023" xr:uid="{00000000-0005-0000-0000-000092000000}"/>
    <cellStyle name="20% - Accent1 6 2" xfId="3254" xr:uid="{00000000-0005-0000-0000-000093000000}"/>
    <cellStyle name="20% - Accent1 6 2 2" xfId="7476" xr:uid="{00000000-0005-0000-0000-000094000000}"/>
    <cellStyle name="20% - Accent1 6 2 2 2" xfId="24411" xr:uid="{C8FA253F-31D2-43FA-B811-D38DFA59459A}"/>
    <cellStyle name="20% - Accent1 6 2 2 3" xfId="15970" xr:uid="{8BE7A8CC-2066-4563-BDE1-864AA9ADCA29}"/>
    <cellStyle name="20% - Accent1 6 2 3" xfId="20193" xr:uid="{47C32D06-31FD-4785-A0EC-A06E898249DE}"/>
    <cellStyle name="20% - Accent1 6 2 4" xfId="11751" xr:uid="{A01957A8-556E-469C-8324-B50EF2BE80BB}"/>
    <cellStyle name="20% - Accent1 6 3" xfId="5331" xr:uid="{00000000-0005-0000-0000-000095000000}"/>
    <cellStyle name="20% - Accent1 6 3 2" xfId="22266" xr:uid="{A721E2B6-3708-49B1-8B83-6BEF2945AF99}"/>
    <cellStyle name="20% - Accent1 6 3 3" xfId="13825" xr:uid="{0A8F6CAC-96F2-41B3-8210-C69495EA72B6}"/>
    <cellStyle name="20% - Accent1 6 4" xfId="18048" xr:uid="{4907D86D-873B-483B-8093-920FFF3DD722}"/>
    <cellStyle name="20% - Accent1 6 5" xfId="9574" xr:uid="{6A652B25-D1F5-499A-A1EE-AC4589A29245}"/>
    <cellStyle name="20% - Accent1 7" xfId="1437" xr:uid="{00000000-0005-0000-0000-000096000000}"/>
    <cellStyle name="20% - Accent1 7 2" xfId="3667" xr:uid="{00000000-0005-0000-0000-000097000000}"/>
    <cellStyle name="20% - Accent1 7 2 2" xfId="7889" xr:uid="{00000000-0005-0000-0000-000098000000}"/>
    <cellStyle name="20% - Accent1 7 2 2 2" xfId="24824" xr:uid="{DCD7E292-B365-42CC-B837-BE459F4AF3F3}"/>
    <cellStyle name="20% - Accent1 7 2 2 3" xfId="16383" xr:uid="{2DEED899-5061-45A3-8B54-B4FCCFDD962E}"/>
    <cellStyle name="20% - Accent1 7 2 3" xfId="20606" xr:uid="{2178300F-E777-4EF0-ABE2-F73A44855E0B}"/>
    <cellStyle name="20% - Accent1 7 2 4" xfId="12164" xr:uid="{2F601BD0-AB26-492A-BBEF-0D4884A4FFF5}"/>
    <cellStyle name="20% - Accent1 7 3" xfId="5744" xr:uid="{00000000-0005-0000-0000-000099000000}"/>
    <cellStyle name="20% - Accent1 7 3 2" xfId="22679" xr:uid="{47CE1FA3-ACE0-43BB-B1E9-C92823E4E4BC}"/>
    <cellStyle name="20% - Accent1 7 3 3" xfId="14238" xr:uid="{9DFA5C07-1636-4ED8-B1A4-6F1CB968EB39}"/>
    <cellStyle name="20% - Accent1 7 4" xfId="18461" xr:uid="{B97C498F-B9EC-4826-8873-15E8B38DA7C0}"/>
    <cellStyle name="20% - Accent1 7 5" xfId="9987" xr:uid="{CA62D874-716C-4F45-9654-BB8ACE4989B6}"/>
    <cellStyle name="20% - Accent1 8" xfId="1851" xr:uid="{00000000-0005-0000-0000-00009A000000}"/>
    <cellStyle name="20% - Accent1 8 2" xfId="4080" xr:uid="{00000000-0005-0000-0000-00009B000000}"/>
    <cellStyle name="20% - Accent1 8 2 2" xfId="8302" xr:uid="{00000000-0005-0000-0000-00009C000000}"/>
    <cellStyle name="20% - Accent1 8 2 2 2" xfId="25237" xr:uid="{5A0B340C-53A0-4994-AAFE-3EC36046D65C}"/>
    <cellStyle name="20% - Accent1 8 2 2 3" xfId="16796" xr:uid="{5047E482-065C-4843-832A-438C97197801}"/>
    <cellStyle name="20% - Accent1 8 2 3" xfId="21019" xr:uid="{00D1C169-A73D-4E36-94C5-9562DB80122A}"/>
    <cellStyle name="20% - Accent1 8 2 4" xfId="12577" xr:uid="{EF7EB755-0E77-4EC7-B953-09E8DBB5CE1A}"/>
    <cellStyle name="20% - Accent1 8 3" xfId="6157" xr:uid="{00000000-0005-0000-0000-00009D000000}"/>
    <cellStyle name="20% - Accent1 8 3 2" xfId="23092" xr:uid="{92B6D0F1-8AA7-4E6D-9271-F1CC527E7813}"/>
    <cellStyle name="20% - Accent1 8 3 3" xfId="14651" xr:uid="{9B4C5146-25A2-4CA6-910A-E9A7F30A918E}"/>
    <cellStyle name="20% - Accent1 8 4" xfId="18874" xr:uid="{85A3E4EF-E9CE-4426-91FA-9869E2950AA7}"/>
    <cellStyle name="20% - Accent1 8 5" xfId="10400" xr:uid="{74D1D7A4-C8DC-4180-9BCF-3FDECFDE8F9E}"/>
    <cellStyle name="20% - Accent1 9" xfId="2264" xr:uid="{00000000-0005-0000-0000-00009E000000}"/>
    <cellStyle name="20% - Accent1 9 2" xfId="6570" xr:uid="{00000000-0005-0000-0000-00009F000000}"/>
    <cellStyle name="20% - Accent1 9 2 2" xfId="23505" xr:uid="{CE339817-0B7B-429E-8B49-3A08CB4EB989}"/>
    <cellStyle name="20% - Accent1 9 2 3" xfId="15064" xr:uid="{1AB39FE3-76DA-4962-8941-7E6FD6DC1656}"/>
    <cellStyle name="20% - Accent1 9 3" xfId="19287" xr:uid="{EF869C25-4EAC-492D-AFCA-4E09D5FA19BB}"/>
    <cellStyle name="20% - Accent1 9 4" xfId="10813" xr:uid="{40B038F7-A419-4045-AB30-9C5208CD4AEF}"/>
    <cellStyle name="20% - Accent2" xfId="9" builtinId="34" customBuiltin="1"/>
    <cellStyle name="20% - Accent2 10" xfId="4512" xr:uid="{00000000-0005-0000-0000-0000A1000000}"/>
    <cellStyle name="20% - Accent2 10 2" xfId="21447" xr:uid="{EC05666A-268F-457E-AE0D-9EAFB020E368}"/>
    <cellStyle name="20% - Accent2 10 3" xfId="13006" xr:uid="{3117FDAA-881B-44FD-8907-EBA20622B0A0}"/>
    <cellStyle name="20% - Accent2 11" xfId="17229" xr:uid="{6B0D499A-29E6-4783-9BDE-98EE5E7139F9}"/>
    <cellStyle name="20% - Accent2 12" xfId="8744" xr:uid="{D29F1235-EB8A-4F28-9C32-300434F44A23}"/>
    <cellStyle name="20% - Accent2 2" xfId="10" xr:uid="{00000000-0005-0000-0000-0000A2000000}"/>
    <cellStyle name="20% - Accent2 2 10" xfId="17230" xr:uid="{3B8D7848-16B5-4ADB-BD13-95C97AC3AAA8}"/>
    <cellStyle name="20% - Accent2 2 11" xfId="8745" xr:uid="{38F600D0-4F91-4483-AF41-0D599A593E60}"/>
    <cellStyle name="20% - Accent2 2 2" xfId="11" xr:uid="{00000000-0005-0000-0000-0000A3000000}"/>
    <cellStyle name="20% - Accent2 2 2 10" xfId="8746" xr:uid="{45E4F46A-17A1-4A2A-BDC4-ED6734C7BC2A}"/>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4009" xr:uid="{FC0739AC-89C9-40CE-BBB4-64FCE002A7B9}"/>
    <cellStyle name="20% - Accent2 2 2 2 2 2 2 3" xfId="15568" xr:uid="{5593C04B-601E-42B1-B7E5-CA2F1E943EE0}"/>
    <cellStyle name="20% - Accent2 2 2 2 2 2 3" xfId="19791" xr:uid="{3407FED4-2DA7-4C2F-A7B6-C68D2BDB96AA}"/>
    <cellStyle name="20% - Accent2 2 2 2 2 2 4" xfId="11349" xr:uid="{1E095DE4-1E95-4B1D-AC10-74F317596B2F}"/>
    <cellStyle name="20% - Accent2 2 2 2 2 3" xfId="4929" xr:uid="{00000000-0005-0000-0000-0000A8000000}"/>
    <cellStyle name="20% - Accent2 2 2 2 2 3 2" xfId="21864" xr:uid="{06EFBAE3-23A5-4ED8-AAD3-C5145DD1C9BD}"/>
    <cellStyle name="20% - Accent2 2 2 2 2 3 3" xfId="13423" xr:uid="{B4B55390-216B-4ACE-BC1B-DB5835B3CC3B}"/>
    <cellStyle name="20% - Accent2 2 2 2 2 4" xfId="17646" xr:uid="{192919B9-4BB7-412F-9CD8-8C842002B67A}"/>
    <cellStyle name="20% - Accent2 2 2 2 2 5" xfId="9171" xr:uid="{4A095033-87B6-4590-97E2-D176F624575D}"/>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4422" xr:uid="{A9CD2726-EABA-44BB-AFD1-A0642EBE1B4E}"/>
    <cellStyle name="20% - Accent2 2 2 2 3 2 2 3" xfId="15981" xr:uid="{27208FA5-7A84-4DA9-882F-3B0BEA2A5DE9}"/>
    <cellStyle name="20% - Accent2 2 2 2 3 2 3" xfId="20204" xr:uid="{0D4DC3A0-3E42-46D5-9B4C-6957092889C5}"/>
    <cellStyle name="20% - Accent2 2 2 2 3 2 4" xfId="11762" xr:uid="{05E3ECCC-B527-4AE7-8617-7C7AC301700B}"/>
    <cellStyle name="20% - Accent2 2 2 2 3 3" xfId="5342" xr:uid="{00000000-0005-0000-0000-0000AC000000}"/>
    <cellStyle name="20% - Accent2 2 2 2 3 3 2" xfId="22277" xr:uid="{D4750BAB-50F7-4D72-A507-227038A09E54}"/>
    <cellStyle name="20% - Accent2 2 2 2 3 3 3" xfId="13836" xr:uid="{0E0D61BE-BF7F-4D15-8164-5D79B827577C}"/>
    <cellStyle name="20% - Accent2 2 2 2 3 4" xfId="18059" xr:uid="{8C1EACFA-E91C-4E80-A11B-12E71C1B8922}"/>
    <cellStyle name="20% - Accent2 2 2 2 3 5" xfId="9585" xr:uid="{B0D66FD1-6AB8-468C-8297-9F2CB2E047E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4835" xr:uid="{FCC8E930-9944-4ADB-9549-2A56B604DCEA}"/>
    <cellStyle name="20% - Accent2 2 2 2 4 2 2 3" xfId="16394" xr:uid="{8FBD5E89-CE3D-4A04-8A3B-0C0B1E005003}"/>
    <cellStyle name="20% - Accent2 2 2 2 4 2 3" xfId="20617" xr:uid="{47BB3D4F-2D17-406E-BFED-8491EDB53FCF}"/>
    <cellStyle name="20% - Accent2 2 2 2 4 2 4" xfId="12175" xr:uid="{7BAB7831-9ED2-4B6A-A2CB-7E6A31C15006}"/>
    <cellStyle name="20% - Accent2 2 2 2 4 3" xfId="5755" xr:uid="{00000000-0005-0000-0000-0000B0000000}"/>
    <cellStyle name="20% - Accent2 2 2 2 4 3 2" xfId="22690" xr:uid="{225713BD-2F84-4E5D-876E-4301747232EA}"/>
    <cellStyle name="20% - Accent2 2 2 2 4 3 3" xfId="14249" xr:uid="{BC617EFF-620B-42BF-A57B-A8F54BAACAC1}"/>
    <cellStyle name="20% - Accent2 2 2 2 4 4" xfId="18472" xr:uid="{45FD383E-7675-4192-9B85-0600DED8424D}"/>
    <cellStyle name="20% - Accent2 2 2 2 4 5" xfId="9998" xr:uid="{121CB344-7EBF-4607-9BE6-E40F7883493B}"/>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5248" xr:uid="{4BBC1E2A-DA58-40AA-A3B7-573CDD3B2C85}"/>
    <cellStyle name="20% - Accent2 2 2 2 5 2 2 3" xfId="16807" xr:uid="{A945766C-2DB3-40FF-953A-902098C3577F}"/>
    <cellStyle name="20% - Accent2 2 2 2 5 2 3" xfId="21030" xr:uid="{5FE3148C-0336-48DB-BDDE-808E62B33B5D}"/>
    <cellStyle name="20% - Accent2 2 2 2 5 2 4" xfId="12588" xr:uid="{A7049E17-764E-4DFC-B83D-5991C00F02EE}"/>
    <cellStyle name="20% - Accent2 2 2 2 5 3" xfId="6168" xr:uid="{00000000-0005-0000-0000-0000B4000000}"/>
    <cellStyle name="20% - Accent2 2 2 2 5 3 2" xfId="23103" xr:uid="{D7815329-1C39-4594-B02E-E183D255B096}"/>
    <cellStyle name="20% - Accent2 2 2 2 5 3 3" xfId="14662" xr:uid="{B15B89F2-7B7F-4DC6-A4FF-93AB6C93BC03}"/>
    <cellStyle name="20% - Accent2 2 2 2 5 4" xfId="18885" xr:uid="{4A6AA6F4-4AFE-488D-9056-44D87961882B}"/>
    <cellStyle name="20% - Accent2 2 2 2 5 5" xfId="10411" xr:uid="{287F91FD-939C-451B-89CE-211E6063AF04}"/>
    <cellStyle name="20% - Accent2 2 2 2 6" xfId="2275" xr:uid="{00000000-0005-0000-0000-0000B5000000}"/>
    <cellStyle name="20% - Accent2 2 2 2 6 2" xfId="6581" xr:uid="{00000000-0005-0000-0000-0000B6000000}"/>
    <cellStyle name="20% - Accent2 2 2 2 6 2 2" xfId="23516" xr:uid="{DCFAA614-584C-4B72-B1EA-25F0E7401C8C}"/>
    <cellStyle name="20% - Accent2 2 2 2 6 2 3" xfId="15075" xr:uid="{F29A203D-7A10-4163-9F59-60D7C07F12DA}"/>
    <cellStyle name="20% - Accent2 2 2 2 6 3" xfId="19298" xr:uid="{20F69F87-CFB9-477E-8C69-D7F9DB456B51}"/>
    <cellStyle name="20% - Accent2 2 2 2 6 4" xfId="10824" xr:uid="{EFF106DD-2604-490E-B578-83F331D7C848}"/>
    <cellStyle name="20% - Accent2 2 2 2 7" xfId="4515" xr:uid="{00000000-0005-0000-0000-0000B7000000}"/>
    <cellStyle name="20% - Accent2 2 2 2 7 2" xfId="21450" xr:uid="{91287EFF-97F8-424D-9D30-82F48BB798BD}"/>
    <cellStyle name="20% - Accent2 2 2 2 7 3" xfId="13009" xr:uid="{0F1C6CF0-8098-4250-A059-E59D85A0718F}"/>
    <cellStyle name="20% - Accent2 2 2 2 8" xfId="17232" xr:uid="{AE1D00F4-C5D9-48EB-A5D3-B466563CFB65}"/>
    <cellStyle name="20% - Accent2 2 2 2 9" xfId="8747" xr:uid="{75D1A03A-8F48-48A1-A022-E184210DEA9A}"/>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4008" xr:uid="{20346652-92F3-405A-8B89-FAA6F980B83F}"/>
    <cellStyle name="20% - Accent2 2 2 3 2 2 3" xfId="15567" xr:uid="{48CDB9BA-1AE5-412F-BB21-23F1D5FE9B36}"/>
    <cellStyle name="20% - Accent2 2 2 3 2 3" xfId="19790" xr:uid="{74A06832-5109-400A-ACC3-5A0D9A79EF74}"/>
    <cellStyle name="20% - Accent2 2 2 3 2 4" xfId="11348" xr:uid="{40474401-FD9F-42D3-B03F-A7C9AC34E642}"/>
    <cellStyle name="20% - Accent2 2 2 3 3" xfId="4928" xr:uid="{00000000-0005-0000-0000-0000BB000000}"/>
    <cellStyle name="20% - Accent2 2 2 3 3 2" xfId="21863" xr:uid="{29E2A100-0A85-40D6-A340-D01FBC2BF432}"/>
    <cellStyle name="20% - Accent2 2 2 3 3 3" xfId="13422" xr:uid="{60E337B6-5D3C-4A42-926E-8A3509E8FFA5}"/>
    <cellStyle name="20% - Accent2 2 2 3 4" xfId="17645" xr:uid="{02AF05C4-77B1-4246-AAC6-B70032F7E21F}"/>
    <cellStyle name="20% - Accent2 2 2 3 5" xfId="9170" xr:uid="{C771ECFC-760D-472B-B5B0-4E6F5658C82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4421" xr:uid="{78BDBFCC-E0A9-4C54-8BE8-005838EFC54A}"/>
    <cellStyle name="20% - Accent2 2 2 4 2 2 3" xfId="15980" xr:uid="{DE9212C7-A058-4B1F-AE75-2BB7B8A024E0}"/>
    <cellStyle name="20% - Accent2 2 2 4 2 3" xfId="20203" xr:uid="{9802092D-D93E-4D87-A460-415B391E6209}"/>
    <cellStyle name="20% - Accent2 2 2 4 2 4" xfId="11761" xr:uid="{3595BE34-6EED-4623-B97F-2F01D047022A}"/>
    <cellStyle name="20% - Accent2 2 2 4 3" xfId="5341" xr:uid="{00000000-0005-0000-0000-0000BF000000}"/>
    <cellStyle name="20% - Accent2 2 2 4 3 2" xfId="22276" xr:uid="{9D8A00A6-DDA4-4E83-89AD-60DC3CB25405}"/>
    <cellStyle name="20% - Accent2 2 2 4 3 3" xfId="13835" xr:uid="{37911A21-0918-4BB9-96CE-EC51EE16700F}"/>
    <cellStyle name="20% - Accent2 2 2 4 4" xfId="18058" xr:uid="{88AF3846-C6F7-499D-9A17-B760A441E832}"/>
    <cellStyle name="20% - Accent2 2 2 4 5" xfId="9584" xr:uid="{95D2D2FB-00D2-4EF5-95F5-355E218C111B}"/>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4834" xr:uid="{DE333A39-A592-4CBB-A7B8-6104DA584F01}"/>
    <cellStyle name="20% - Accent2 2 2 5 2 2 3" xfId="16393" xr:uid="{12361435-804E-4F3E-A84E-CE590CCA80F5}"/>
    <cellStyle name="20% - Accent2 2 2 5 2 3" xfId="20616" xr:uid="{90E80EBA-609B-4968-AF8C-1A6226F99DEE}"/>
    <cellStyle name="20% - Accent2 2 2 5 2 4" xfId="12174" xr:uid="{6581F91E-FE48-47E7-94E1-EFACDC62578D}"/>
    <cellStyle name="20% - Accent2 2 2 5 3" xfId="5754" xr:uid="{00000000-0005-0000-0000-0000C3000000}"/>
    <cellStyle name="20% - Accent2 2 2 5 3 2" xfId="22689" xr:uid="{E5F85E21-E4FB-40F2-BC77-43FEF3655E89}"/>
    <cellStyle name="20% - Accent2 2 2 5 3 3" xfId="14248" xr:uid="{00CC4636-EC6D-4EE3-B4CF-2182E3567F81}"/>
    <cellStyle name="20% - Accent2 2 2 5 4" xfId="18471" xr:uid="{E3DFC036-2847-4112-88BD-3FEC4404D010}"/>
    <cellStyle name="20% - Accent2 2 2 5 5" xfId="9997" xr:uid="{4A7A0F23-5BA2-4834-AED8-B9B31A2D9F4C}"/>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5247" xr:uid="{9141611E-AA3E-4183-843E-677C7642C418}"/>
    <cellStyle name="20% - Accent2 2 2 6 2 2 3" xfId="16806" xr:uid="{10D0269D-AAAB-48E2-895D-26A488B1978A}"/>
    <cellStyle name="20% - Accent2 2 2 6 2 3" xfId="21029" xr:uid="{D97620D0-5DFB-4B05-8854-DC9748E5EC78}"/>
    <cellStyle name="20% - Accent2 2 2 6 2 4" xfId="12587" xr:uid="{C7BC7277-C17C-4423-9ED5-BC0DB119D637}"/>
    <cellStyle name="20% - Accent2 2 2 6 3" xfId="6167" xr:uid="{00000000-0005-0000-0000-0000C7000000}"/>
    <cellStyle name="20% - Accent2 2 2 6 3 2" xfId="23102" xr:uid="{626F3033-C314-4C08-801C-973A81939177}"/>
    <cellStyle name="20% - Accent2 2 2 6 3 3" xfId="14661" xr:uid="{6AD800DD-538A-47BE-8E3D-E5BAF1EC20EF}"/>
    <cellStyle name="20% - Accent2 2 2 6 4" xfId="18884" xr:uid="{FCA398A9-4E9A-4EE0-80AA-660AA874E6E2}"/>
    <cellStyle name="20% - Accent2 2 2 6 5" xfId="10410" xr:uid="{7B1CF4B4-7F7D-45C9-88F0-84CDEC0A43E5}"/>
    <cellStyle name="20% - Accent2 2 2 7" xfId="2274" xr:uid="{00000000-0005-0000-0000-0000C8000000}"/>
    <cellStyle name="20% - Accent2 2 2 7 2" xfId="6580" xr:uid="{00000000-0005-0000-0000-0000C9000000}"/>
    <cellStyle name="20% - Accent2 2 2 7 2 2" xfId="23515" xr:uid="{ACDD09F7-52AF-41FE-80C1-F613F581006F}"/>
    <cellStyle name="20% - Accent2 2 2 7 2 3" xfId="15074" xr:uid="{7BBE22F1-C0CA-476E-B98F-8921C7A183E4}"/>
    <cellStyle name="20% - Accent2 2 2 7 3" xfId="19297" xr:uid="{CFB8CD2E-4445-4C8F-9707-21593DF1D9EB}"/>
    <cellStyle name="20% - Accent2 2 2 7 4" xfId="10823" xr:uid="{73539AB4-FF3A-4A4A-A957-5AE84560F2A2}"/>
    <cellStyle name="20% - Accent2 2 2 8" xfId="4514" xr:uid="{00000000-0005-0000-0000-0000CA000000}"/>
    <cellStyle name="20% - Accent2 2 2 8 2" xfId="21449" xr:uid="{78EB3B40-C8A7-4354-ABBB-86B602C5B18C}"/>
    <cellStyle name="20% - Accent2 2 2 8 3" xfId="13008" xr:uid="{6BF9A552-B86C-4EBB-8F07-6C7F46BEF77D}"/>
    <cellStyle name="20% - Accent2 2 2 9" xfId="17231" xr:uid="{6A0ADC7F-DB09-4A37-940A-C6A24B36385F}"/>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4010" xr:uid="{9FBD99AA-458D-4D35-BA18-6E5E8D70C289}"/>
    <cellStyle name="20% - Accent2 2 3 2 2 2 3" xfId="15569" xr:uid="{13EAB5D5-AF7B-43C3-AD47-8CB8D970D0B5}"/>
    <cellStyle name="20% - Accent2 2 3 2 2 3" xfId="19792" xr:uid="{D4A06BC7-AE19-4CD3-B1EA-BAFE4CE4C5E4}"/>
    <cellStyle name="20% - Accent2 2 3 2 2 4" xfId="11350" xr:uid="{C4AE5D8B-7F79-41A1-86D7-095B0F7D9875}"/>
    <cellStyle name="20% - Accent2 2 3 2 3" xfId="4930" xr:uid="{00000000-0005-0000-0000-0000CF000000}"/>
    <cellStyle name="20% - Accent2 2 3 2 3 2" xfId="21865" xr:uid="{AF1FC67C-B5E7-4F45-BDA2-2A91A961E704}"/>
    <cellStyle name="20% - Accent2 2 3 2 3 3" xfId="13424" xr:uid="{A8CEA4A6-55DD-4AC1-A6FE-14AF467EABF7}"/>
    <cellStyle name="20% - Accent2 2 3 2 4" xfId="17647" xr:uid="{C0F62927-82BC-4D95-8366-23DF6F67A3BA}"/>
    <cellStyle name="20% - Accent2 2 3 2 5" xfId="9172" xr:uid="{876DA56F-3CA6-438F-9878-EAF024159FB5}"/>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4423" xr:uid="{85429ADB-07C1-4428-820A-4CE05F1BB92F}"/>
    <cellStyle name="20% - Accent2 2 3 3 2 2 3" xfId="15982" xr:uid="{5680EC1C-6A60-4089-9E92-D1D3400111FB}"/>
    <cellStyle name="20% - Accent2 2 3 3 2 3" xfId="20205" xr:uid="{40A068A8-97EB-4AE0-87E8-D217F9100B1C}"/>
    <cellStyle name="20% - Accent2 2 3 3 2 4" xfId="11763" xr:uid="{5788D220-E2AD-456B-A671-A0AE1879A363}"/>
    <cellStyle name="20% - Accent2 2 3 3 3" xfId="5343" xr:uid="{00000000-0005-0000-0000-0000D3000000}"/>
    <cellStyle name="20% - Accent2 2 3 3 3 2" xfId="22278" xr:uid="{5A8B2846-AAA2-4429-9DA9-736168449FFE}"/>
    <cellStyle name="20% - Accent2 2 3 3 3 3" xfId="13837" xr:uid="{F03ED442-6ABC-4CFB-BF95-8EEAAA34DCD6}"/>
    <cellStyle name="20% - Accent2 2 3 3 4" xfId="18060" xr:uid="{1D391CC1-DFA7-4569-84AE-05BF0125B792}"/>
    <cellStyle name="20% - Accent2 2 3 3 5" xfId="9586" xr:uid="{C3E537CE-48B4-4EA3-8F3F-9896EEBD5D1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4836" xr:uid="{8B9F0ED9-697F-476E-B4D3-E1B8DD9CB766}"/>
    <cellStyle name="20% - Accent2 2 3 4 2 2 3" xfId="16395" xr:uid="{93DB14F4-AA42-49A9-9AB1-51C8D4AA1EC5}"/>
    <cellStyle name="20% - Accent2 2 3 4 2 3" xfId="20618" xr:uid="{0D9C95C3-EF75-4950-8670-F772C1283428}"/>
    <cellStyle name="20% - Accent2 2 3 4 2 4" xfId="12176" xr:uid="{8C6950E2-C2D7-475C-953C-A09B2ED89761}"/>
    <cellStyle name="20% - Accent2 2 3 4 3" xfId="5756" xr:uid="{00000000-0005-0000-0000-0000D7000000}"/>
    <cellStyle name="20% - Accent2 2 3 4 3 2" xfId="22691" xr:uid="{29DBA9A9-904E-442D-BE21-A3ADFA558D60}"/>
    <cellStyle name="20% - Accent2 2 3 4 3 3" xfId="14250" xr:uid="{C65A4A44-4573-4B62-B584-F6959503FE62}"/>
    <cellStyle name="20% - Accent2 2 3 4 4" xfId="18473" xr:uid="{5C915B00-1568-4DF4-9857-C38BFF06612C}"/>
    <cellStyle name="20% - Accent2 2 3 4 5" xfId="9999" xr:uid="{11610457-9C55-42F5-A91F-82C9782AD85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5249" xr:uid="{B1466F4D-FADF-4CB4-94C0-E0D1372A1609}"/>
    <cellStyle name="20% - Accent2 2 3 5 2 2 3" xfId="16808" xr:uid="{8F2BC3C7-7356-42C5-9050-B1F5446C276D}"/>
    <cellStyle name="20% - Accent2 2 3 5 2 3" xfId="21031" xr:uid="{711410E3-2B79-48C2-94BB-40864455BE32}"/>
    <cellStyle name="20% - Accent2 2 3 5 2 4" xfId="12589" xr:uid="{44F19C4E-ED78-4621-9C4C-61B10E14DE08}"/>
    <cellStyle name="20% - Accent2 2 3 5 3" xfId="6169" xr:uid="{00000000-0005-0000-0000-0000DB000000}"/>
    <cellStyle name="20% - Accent2 2 3 5 3 2" xfId="23104" xr:uid="{388C1C10-0D1D-4694-AA7C-54EA1D574FE3}"/>
    <cellStyle name="20% - Accent2 2 3 5 3 3" xfId="14663" xr:uid="{FF809190-22C0-477C-8759-DC570E34CE74}"/>
    <cellStyle name="20% - Accent2 2 3 5 4" xfId="18886" xr:uid="{1FFBBFE9-8CA4-46E3-9ADD-476AE508FD08}"/>
    <cellStyle name="20% - Accent2 2 3 5 5" xfId="10412" xr:uid="{3BB41C59-5048-4B2E-B586-5D5252272242}"/>
    <cellStyle name="20% - Accent2 2 3 6" xfId="2276" xr:uid="{00000000-0005-0000-0000-0000DC000000}"/>
    <cellStyle name="20% - Accent2 2 3 6 2" xfId="6582" xr:uid="{00000000-0005-0000-0000-0000DD000000}"/>
    <cellStyle name="20% - Accent2 2 3 6 2 2" xfId="23517" xr:uid="{ECA8A6F7-18F2-4BFD-B562-693FDC41E685}"/>
    <cellStyle name="20% - Accent2 2 3 6 2 3" xfId="15076" xr:uid="{0F7E428E-520D-4E31-9734-63EA9784A8A2}"/>
    <cellStyle name="20% - Accent2 2 3 6 3" xfId="19299" xr:uid="{39960508-8A26-48E1-86BB-18ED2A67410E}"/>
    <cellStyle name="20% - Accent2 2 3 6 4" xfId="10825" xr:uid="{564367A2-5326-406B-870F-2647DE5417FB}"/>
    <cellStyle name="20% - Accent2 2 3 7" xfId="4516" xr:uid="{00000000-0005-0000-0000-0000DE000000}"/>
    <cellStyle name="20% - Accent2 2 3 7 2" xfId="21451" xr:uid="{057E07B9-051C-433B-A952-DF36D786E14B}"/>
    <cellStyle name="20% - Accent2 2 3 7 3" xfId="13010" xr:uid="{028E0636-AEBD-4C72-8637-10A68B3A3CAE}"/>
    <cellStyle name="20% - Accent2 2 3 8" xfId="17233" xr:uid="{2BF0047E-8347-473B-88B7-76AADD3E4479}"/>
    <cellStyle name="20% - Accent2 2 3 9" xfId="8748" xr:uid="{38F70653-9C9F-4AD8-8E30-F21E66F0A2C1}"/>
    <cellStyle name="20% - Accent2 2 4" xfId="579" xr:uid="{00000000-0005-0000-0000-0000DF000000}"/>
    <cellStyle name="20% - Accent2 2 4 2" xfId="2850" xr:uid="{00000000-0005-0000-0000-0000E0000000}"/>
    <cellStyle name="20% - Accent2 2 4 2 2" xfId="7072" xr:uid="{00000000-0005-0000-0000-0000E1000000}"/>
    <cellStyle name="20% - Accent2 2 4 2 2 2" xfId="24007" xr:uid="{8F6B5436-9C6D-4DF6-83FB-FB0B63163C9B}"/>
    <cellStyle name="20% - Accent2 2 4 2 2 3" xfId="15566" xr:uid="{C6CF760C-E623-4EBD-AF53-DD6653B0EB37}"/>
    <cellStyle name="20% - Accent2 2 4 2 3" xfId="19789" xr:uid="{90D682FB-9493-449D-B295-6C4892C097BA}"/>
    <cellStyle name="20% - Accent2 2 4 2 4" xfId="11347" xr:uid="{0F16779B-0CEB-498E-BCE9-CB5443B2A730}"/>
    <cellStyle name="20% - Accent2 2 4 3" xfId="4927" xr:uid="{00000000-0005-0000-0000-0000E2000000}"/>
    <cellStyle name="20% - Accent2 2 4 3 2" xfId="21862" xr:uid="{1ABD1EE6-24E3-466D-958F-972D9FA8619D}"/>
    <cellStyle name="20% - Accent2 2 4 3 3" xfId="13421" xr:uid="{45FE085D-4359-4FA9-A761-29FA98933E97}"/>
    <cellStyle name="20% - Accent2 2 4 4" xfId="17644" xr:uid="{C8798253-B474-4528-8DD3-8B70B2CFF934}"/>
    <cellStyle name="20% - Accent2 2 4 5" xfId="9169" xr:uid="{00598C1E-6C67-463E-ADB6-B7EE077D9E3A}"/>
    <cellStyle name="20% - Accent2 2 5" xfId="1032" xr:uid="{00000000-0005-0000-0000-0000E3000000}"/>
    <cellStyle name="20% - Accent2 2 5 2" xfId="3263" xr:uid="{00000000-0005-0000-0000-0000E4000000}"/>
    <cellStyle name="20% - Accent2 2 5 2 2" xfId="7485" xr:uid="{00000000-0005-0000-0000-0000E5000000}"/>
    <cellStyle name="20% - Accent2 2 5 2 2 2" xfId="24420" xr:uid="{87531E7E-97F7-4369-A64A-43709821983B}"/>
    <cellStyle name="20% - Accent2 2 5 2 2 3" xfId="15979" xr:uid="{7B59A7FC-52FF-44F3-A451-387274454541}"/>
    <cellStyle name="20% - Accent2 2 5 2 3" xfId="20202" xr:uid="{21CBE5BC-96C9-47A7-9896-C27BBD4205A6}"/>
    <cellStyle name="20% - Accent2 2 5 2 4" xfId="11760" xr:uid="{4230A461-E04A-45D6-A5D4-17DC3F97D2A3}"/>
    <cellStyle name="20% - Accent2 2 5 3" xfId="5340" xr:uid="{00000000-0005-0000-0000-0000E6000000}"/>
    <cellStyle name="20% - Accent2 2 5 3 2" xfId="22275" xr:uid="{6F328245-5682-434E-A01F-A8C7BD10193D}"/>
    <cellStyle name="20% - Accent2 2 5 3 3" xfId="13834" xr:uid="{E6BFF64B-AE9B-477B-82B7-AB1CB97C1362}"/>
    <cellStyle name="20% - Accent2 2 5 4" xfId="18057" xr:uid="{56C5999C-7BCB-40C3-BF28-459B05B4DF6A}"/>
    <cellStyle name="20% - Accent2 2 5 5" xfId="9583" xr:uid="{4A104C8C-BBF2-490B-AE6F-37880175E6CE}"/>
    <cellStyle name="20% - Accent2 2 6" xfId="1446" xr:uid="{00000000-0005-0000-0000-0000E7000000}"/>
    <cellStyle name="20% - Accent2 2 6 2" xfId="3676" xr:uid="{00000000-0005-0000-0000-0000E8000000}"/>
    <cellStyle name="20% - Accent2 2 6 2 2" xfId="7898" xr:uid="{00000000-0005-0000-0000-0000E9000000}"/>
    <cellStyle name="20% - Accent2 2 6 2 2 2" xfId="24833" xr:uid="{189D501D-1CEC-4A3E-A0D4-F86B7403D757}"/>
    <cellStyle name="20% - Accent2 2 6 2 2 3" xfId="16392" xr:uid="{EED168CF-7242-426E-836A-AEBE81609E40}"/>
    <cellStyle name="20% - Accent2 2 6 2 3" xfId="20615" xr:uid="{BB4A4869-9992-467A-AB3F-6562D4783921}"/>
    <cellStyle name="20% - Accent2 2 6 2 4" xfId="12173" xr:uid="{4D617D09-42A7-46B4-BA8F-9C20D694A3EC}"/>
    <cellStyle name="20% - Accent2 2 6 3" xfId="5753" xr:uid="{00000000-0005-0000-0000-0000EA000000}"/>
    <cellStyle name="20% - Accent2 2 6 3 2" xfId="22688" xr:uid="{4A502CA2-874A-43DC-86D1-36B29BD6AC2E}"/>
    <cellStyle name="20% - Accent2 2 6 3 3" xfId="14247" xr:uid="{B6E70C40-2035-4F6F-8BC5-7E444B4E3BF2}"/>
    <cellStyle name="20% - Accent2 2 6 4" xfId="18470" xr:uid="{724E383A-2D9E-40BE-B414-2B7A6CE9BE68}"/>
    <cellStyle name="20% - Accent2 2 6 5" xfId="9996" xr:uid="{E6901112-AFC7-4E21-AFD3-1466C6A7D855}"/>
    <cellStyle name="20% - Accent2 2 7" xfId="1860" xr:uid="{00000000-0005-0000-0000-0000EB000000}"/>
    <cellStyle name="20% - Accent2 2 7 2" xfId="4089" xr:uid="{00000000-0005-0000-0000-0000EC000000}"/>
    <cellStyle name="20% - Accent2 2 7 2 2" xfId="8311" xr:uid="{00000000-0005-0000-0000-0000ED000000}"/>
    <cellStyle name="20% - Accent2 2 7 2 2 2" xfId="25246" xr:uid="{01675996-D8AF-4BC0-9DB9-0095187B2147}"/>
    <cellStyle name="20% - Accent2 2 7 2 2 3" xfId="16805" xr:uid="{BE1C1783-9528-48FB-998A-93EDE091AAFB}"/>
    <cellStyle name="20% - Accent2 2 7 2 3" xfId="21028" xr:uid="{627D8E01-0D5A-4411-BC66-81C0D9CE9B30}"/>
    <cellStyle name="20% - Accent2 2 7 2 4" xfId="12586" xr:uid="{8A32AF94-843F-4FF7-8A70-E5C1EDEF8C1A}"/>
    <cellStyle name="20% - Accent2 2 7 3" xfId="6166" xr:uid="{00000000-0005-0000-0000-0000EE000000}"/>
    <cellStyle name="20% - Accent2 2 7 3 2" xfId="23101" xr:uid="{2469F9C4-7913-4C3E-A22E-13DD05A9690D}"/>
    <cellStyle name="20% - Accent2 2 7 3 3" xfId="14660" xr:uid="{7E0551F3-2B9C-40DA-89D0-FA9BDD5A24E7}"/>
    <cellStyle name="20% - Accent2 2 7 4" xfId="18883" xr:uid="{4371F93A-0BF9-4A68-9B5C-0195DC35E166}"/>
    <cellStyle name="20% - Accent2 2 7 5" xfId="10409" xr:uid="{468B6E14-99BD-4775-B74B-6F9F0B75615E}"/>
    <cellStyle name="20% - Accent2 2 8" xfId="2273" xr:uid="{00000000-0005-0000-0000-0000EF000000}"/>
    <cellStyle name="20% - Accent2 2 8 2" xfId="6579" xr:uid="{00000000-0005-0000-0000-0000F0000000}"/>
    <cellStyle name="20% - Accent2 2 8 2 2" xfId="23514" xr:uid="{C83F0FA0-1863-49B8-B772-28C7446985E2}"/>
    <cellStyle name="20% - Accent2 2 8 2 3" xfId="15073" xr:uid="{3EFA73FA-7744-4DE0-9556-F55D0D8878A8}"/>
    <cellStyle name="20% - Accent2 2 8 3" xfId="19296" xr:uid="{BBD74FDA-1417-4C20-A043-84736E5FBB0A}"/>
    <cellStyle name="20% - Accent2 2 8 4" xfId="10822" xr:uid="{8A1FEDA0-4308-47C1-82DB-E38A0DA763EA}"/>
    <cellStyle name="20% - Accent2 2 9" xfId="4513" xr:uid="{00000000-0005-0000-0000-0000F1000000}"/>
    <cellStyle name="20% - Accent2 2 9 2" xfId="21448" xr:uid="{B87AFCA1-2CBC-4974-95FC-1D86A8756E68}"/>
    <cellStyle name="20% - Accent2 2 9 3" xfId="13007" xr:uid="{62FB689B-237B-4D82-A83B-9FECCC3835BC}"/>
    <cellStyle name="20% - Accent2 3" xfId="14" xr:uid="{00000000-0005-0000-0000-0000F2000000}"/>
    <cellStyle name="20% - Accent2 3 10" xfId="8749" xr:uid="{F5282535-6655-4A56-9EAD-4BFC563CDD9E}"/>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4012" xr:uid="{A2F48FBB-6AD6-463C-A3E0-DA0E76514100}"/>
    <cellStyle name="20% - Accent2 3 2 2 2 2 3" xfId="15571" xr:uid="{BCB75DCE-0606-4B53-93F0-D355E48B539E}"/>
    <cellStyle name="20% - Accent2 3 2 2 2 3" xfId="19794" xr:uid="{D9CE8C39-1BBB-4067-9470-472DF26E1216}"/>
    <cellStyle name="20% - Accent2 3 2 2 2 4" xfId="11352" xr:uid="{D9DC8473-CF51-4844-A9FB-0777AF3637E2}"/>
    <cellStyle name="20% - Accent2 3 2 2 3" xfId="4932" xr:uid="{00000000-0005-0000-0000-0000F7000000}"/>
    <cellStyle name="20% - Accent2 3 2 2 3 2" xfId="21867" xr:uid="{CAD9FD48-0715-46F1-BA1A-9CC0E106E3F9}"/>
    <cellStyle name="20% - Accent2 3 2 2 3 3" xfId="13426" xr:uid="{F6B7717C-CEBE-47B0-BD7F-22E5520B421F}"/>
    <cellStyle name="20% - Accent2 3 2 2 4" xfId="17649" xr:uid="{CF145A9A-C9EA-4C11-A4F3-17D2D42D780C}"/>
    <cellStyle name="20% - Accent2 3 2 2 5" xfId="9174" xr:uid="{D96C336E-47DF-4CCF-911F-AA58644BE0C2}"/>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4425" xr:uid="{BF7FA13E-AE85-4DFA-95DF-8F46634AFAAD}"/>
    <cellStyle name="20% - Accent2 3 2 3 2 2 3" xfId="15984" xr:uid="{13C7ABF6-3FA3-4336-BAFF-864150059F0A}"/>
    <cellStyle name="20% - Accent2 3 2 3 2 3" xfId="20207" xr:uid="{C8897ADF-17B6-4AAD-B28B-5BFAB4FE047B}"/>
    <cellStyle name="20% - Accent2 3 2 3 2 4" xfId="11765" xr:uid="{07E1F9E8-B7C4-4F77-A981-6740A781B853}"/>
    <cellStyle name="20% - Accent2 3 2 3 3" xfId="5345" xr:uid="{00000000-0005-0000-0000-0000FB000000}"/>
    <cellStyle name="20% - Accent2 3 2 3 3 2" xfId="22280" xr:uid="{1E0BC7F3-F603-47AE-B34A-0C711E264293}"/>
    <cellStyle name="20% - Accent2 3 2 3 3 3" xfId="13839" xr:uid="{13967FE0-4FB1-4FAF-B4E0-C607A6FC7AD0}"/>
    <cellStyle name="20% - Accent2 3 2 3 4" xfId="18062" xr:uid="{00A2B133-C574-42FA-BA93-26891A8384B7}"/>
    <cellStyle name="20% - Accent2 3 2 3 5" xfId="9588" xr:uid="{353F82E8-F1E8-4DE7-9DB9-657778E9D57B}"/>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4838" xr:uid="{5B1695EB-FD38-4CAC-9366-FB550D1BB66C}"/>
    <cellStyle name="20% - Accent2 3 2 4 2 2 3" xfId="16397" xr:uid="{D3A469E0-C315-43FF-A6E4-DDD365967047}"/>
    <cellStyle name="20% - Accent2 3 2 4 2 3" xfId="20620" xr:uid="{5B006AEE-5FF8-4972-9AA5-7E6759CF1C64}"/>
    <cellStyle name="20% - Accent2 3 2 4 2 4" xfId="12178" xr:uid="{F2098512-C659-4C0D-98CC-1D31DB8B1B8F}"/>
    <cellStyle name="20% - Accent2 3 2 4 3" xfId="5758" xr:uid="{00000000-0005-0000-0000-0000FF000000}"/>
    <cellStyle name="20% - Accent2 3 2 4 3 2" xfId="22693" xr:uid="{3511711A-791A-41AC-B285-20DD40C5B340}"/>
    <cellStyle name="20% - Accent2 3 2 4 3 3" xfId="14252" xr:uid="{28D498D1-03F5-464C-9566-1D74BEB85F85}"/>
    <cellStyle name="20% - Accent2 3 2 4 4" xfId="18475" xr:uid="{B57AF430-5A0B-421B-98FA-87C321B83168}"/>
    <cellStyle name="20% - Accent2 3 2 4 5" xfId="10001" xr:uid="{312400AD-AB5B-416B-B529-22B942C78226}"/>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5251" xr:uid="{2C06DD54-D4CF-4B7B-994C-7B6B17B3E5B8}"/>
    <cellStyle name="20% - Accent2 3 2 5 2 2 3" xfId="16810" xr:uid="{0E2955DA-A90D-4A4F-B630-4F2A8F50ECFB}"/>
    <cellStyle name="20% - Accent2 3 2 5 2 3" xfId="21033" xr:uid="{47F41BBE-8C66-4704-8801-1D5916785C89}"/>
    <cellStyle name="20% - Accent2 3 2 5 2 4" xfId="12591" xr:uid="{CBFE7DB6-C085-4ABC-9FBE-27B7539278E5}"/>
    <cellStyle name="20% - Accent2 3 2 5 3" xfId="6171" xr:uid="{00000000-0005-0000-0000-000003010000}"/>
    <cellStyle name="20% - Accent2 3 2 5 3 2" xfId="23106" xr:uid="{A4509F09-4A51-42EE-9A9C-105C3136B457}"/>
    <cellStyle name="20% - Accent2 3 2 5 3 3" xfId="14665" xr:uid="{19B327D9-2FD9-4B72-8D26-511F2A2500EA}"/>
    <cellStyle name="20% - Accent2 3 2 5 4" xfId="18888" xr:uid="{AC460050-3E7C-4A54-8D27-271F82607D68}"/>
    <cellStyle name="20% - Accent2 3 2 5 5" xfId="10414" xr:uid="{F439086F-6878-4F49-81FB-C9CEB8E28736}"/>
    <cellStyle name="20% - Accent2 3 2 6" xfId="2278" xr:uid="{00000000-0005-0000-0000-000004010000}"/>
    <cellStyle name="20% - Accent2 3 2 6 2" xfId="6584" xr:uid="{00000000-0005-0000-0000-000005010000}"/>
    <cellStyle name="20% - Accent2 3 2 6 2 2" xfId="23519" xr:uid="{CDCAA9BF-4868-4A77-A794-8B9E6FD7356D}"/>
    <cellStyle name="20% - Accent2 3 2 6 2 3" xfId="15078" xr:uid="{2EA1AD21-127B-4AAA-A997-C0ABB532F940}"/>
    <cellStyle name="20% - Accent2 3 2 6 3" xfId="19301" xr:uid="{1E3804F4-C539-4C87-A4D2-F377F4F6F7EB}"/>
    <cellStyle name="20% - Accent2 3 2 6 4" xfId="10827" xr:uid="{25F6AB55-B854-49FC-9943-D21A5BA5CD47}"/>
    <cellStyle name="20% - Accent2 3 2 7" xfId="4518" xr:uid="{00000000-0005-0000-0000-000006010000}"/>
    <cellStyle name="20% - Accent2 3 2 7 2" xfId="21453" xr:uid="{008B469C-FCC7-4727-8B33-AD92EF709CDE}"/>
    <cellStyle name="20% - Accent2 3 2 7 3" xfId="13012" xr:uid="{04DDADDA-A798-435E-B175-FEAB035E645E}"/>
    <cellStyle name="20% - Accent2 3 2 8" xfId="17235" xr:uid="{DBD2838B-1F70-445D-9A3B-216A273C4360}"/>
    <cellStyle name="20% - Accent2 3 2 9" xfId="8750" xr:uid="{E996345A-9391-4EB1-8141-097123E7F6D8}"/>
    <cellStyle name="20% - Accent2 3 3" xfId="583" xr:uid="{00000000-0005-0000-0000-000007010000}"/>
    <cellStyle name="20% - Accent2 3 3 2" xfId="2854" xr:uid="{00000000-0005-0000-0000-000008010000}"/>
    <cellStyle name="20% - Accent2 3 3 2 2" xfId="7076" xr:uid="{00000000-0005-0000-0000-000009010000}"/>
    <cellStyle name="20% - Accent2 3 3 2 2 2" xfId="24011" xr:uid="{B3BFB4BA-4386-4310-A60C-07CA97C835A4}"/>
    <cellStyle name="20% - Accent2 3 3 2 2 3" xfId="15570" xr:uid="{E1068B67-0C45-46F1-975E-0FE16E48CD62}"/>
    <cellStyle name="20% - Accent2 3 3 2 3" xfId="19793" xr:uid="{58CEECC5-D835-42C3-AC4E-920373C6D318}"/>
    <cellStyle name="20% - Accent2 3 3 2 4" xfId="11351" xr:uid="{7F2BB655-0FF4-44D3-ACC9-D97A83793F86}"/>
    <cellStyle name="20% - Accent2 3 3 3" xfId="4931" xr:uid="{00000000-0005-0000-0000-00000A010000}"/>
    <cellStyle name="20% - Accent2 3 3 3 2" xfId="21866" xr:uid="{9506C792-2EA1-4ACA-828E-443112E1E3D3}"/>
    <cellStyle name="20% - Accent2 3 3 3 3" xfId="13425" xr:uid="{3FFDDAB1-2421-4B6A-AE70-81F8A53C0D8C}"/>
    <cellStyle name="20% - Accent2 3 3 4" xfId="17648" xr:uid="{68AF93AC-84F4-4318-9C29-E3DC0646009D}"/>
    <cellStyle name="20% - Accent2 3 3 5" xfId="9173" xr:uid="{645FF616-DA54-4D03-AB51-A9D1241B1CD2}"/>
    <cellStyle name="20% - Accent2 3 4" xfId="1036" xr:uid="{00000000-0005-0000-0000-00000B010000}"/>
    <cellStyle name="20% - Accent2 3 4 2" xfId="3267" xr:uid="{00000000-0005-0000-0000-00000C010000}"/>
    <cellStyle name="20% - Accent2 3 4 2 2" xfId="7489" xr:uid="{00000000-0005-0000-0000-00000D010000}"/>
    <cellStyle name="20% - Accent2 3 4 2 2 2" xfId="24424" xr:uid="{17BD3A20-C66E-4DA4-9FDB-BCA9310AB818}"/>
    <cellStyle name="20% - Accent2 3 4 2 2 3" xfId="15983" xr:uid="{2297F91F-56B4-4DAF-A49C-1148868BBF40}"/>
    <cellStyle name="20% - Accent2 3 4 2 3" xfId="20206" xr:uid="{4E4DD062-D466-474A-87A9-347B9C2FB446}"/>
    <cellStyle name="20% - Accent2 3 4 2 4" xfId="11764" xr:uid="{820E369D-633B-4B99-9217-BACB7B6C9AEE}"/>
    <cellStyle name="20% - Accent2 3 4 3" xfId="5344" xr:uid="{00000000-0005-0000-0000-00000E010000}"/>
    <cellStyle name="20% - Accent2 3 4 3 2" xfId="22279" xr:uid="{35FDCDDC-07C3-4793-AD2B-47FC0DA54BA7}"/>
    <cellStyle name="20% - Accent2 3 4 3 3" xfId="13838" xr:uid="{BE1783C9-2517-464A-B5DB-11C285D611CA}"/>
    <cellStyle name="20% - Accent2 3 4 4" xfId="18061" xr:uid="{741F160C-59B6-4E51-B5DB-B1119C91B34B}"/>
    <cellStyle name="20% - Accent2 3 4 5" xfId="9587" xr:uid="{C47518DE-2180-4ED3-B840-F7C153860FD7}"/>
    <cellStyle name="20% - Accent2 3 5" xfId="1450" xr:uid="{00000000-0005-0000-0000-00000F010000}"/>
    <cellStyle name="20% - Accent2 3 5 2" xfId="3680" xr:uid="{00000000-0005-0000-0000-000010010000}"/>
    <cellStyle name="20% - Accent2 3 5 2 2" xfId="7902" xr:uid="{00000000-0005-0000-0000-000011010000}"/>
    <cellStyle name="20% - Accent2 3 5 2 2 2" xfId="24837" xr:uid="{BD561532-8995-4787-8E77-2001D34082BD}"/>
    <cellStyle name="20% - Accent2 3 5 2 2 3" xfId="16396" xr:uid="{7EDE87D7-C06D-48EF-A738-DC418CA71207}"/>
    <cellStyle name="20% - Accent2 3 5 2 3" xfId="20619" xr:uid="{D823F35B-9593-4EE7-81A7-619E721E58D0}"/>
    <cellStyle name="20% - Accent2 3 5 2 4" xfId="12177" xr:uid="{B543BFF2-AC93-4396-971C-C6579D3E7B3B}"/>
    <cellStyle name="20% - Accent2 3 5 3" xfId="5757" xr:uid="{00000000-0005-0000-0000-000012010000}"/>
    <cellStyle name="20% - Accent2 3 5 3 2" xfId="22692" xr:uid="{5CA527FF-0659-40D5-8F27-0F2F84510A17}"/>
    <cellStyle name="20% - Accent2 3 5 3 3" xfId="14251" xr:uid="{BC9B14DC-19FA-4BB2-A20F-FCFFE7B5A620}"/>
    <cellStyle name="20% - Accent2 3 5 4" xfId="18474" xr:uid="{1C5D7387-495B-4150-9474-A231BCF49EC0}"/>
    <cellStyle name="20% - Accent2 3 5 5" xfId="10000" xr:uid="{97471FB0-5CEC-4773-94E9-D8F8AA6C5F9D}"/>
    <cellStyle name="20% - Accent2 3 6" xfId="1864" xr:uid="{00000000-0005-0000-0000-000013010000}"/>
    <cellStyle name="20% - Accent2 3 6 2" xfId="4093" xr:uid="{00000000-0005-0000-0000-000014010000}"/>
    <cellStyle name="20% - Accent2 3 6 2 2" xfId="8315" xr:uid="{00000000-0005-0000-0000-000015010000}"/>
    <cellStyle name="20% - Accent2 3 6 2 2 2" xfId="25250" xr:uid="{DC00D9C7-5E55-4FF0-BBCA-3EEFE36F3EB7}"/>
    <cellStyle name="20% - Accent2 3 6 2 2 3" xfId="16809" xr:uid="{5A3770A3-25A8-4BF5-A5FF-05C63DCD3F77}"/>
    <cellStyle name="20% - Accent2 3 6 2 3" xfId="21032" xr:uid="{3EC8385C-5370-49AC-9D63-DB0191E8E7D8}"/>
    <cellStyle name="20% - Accent2 3 6 2 4" xfId="12590" xr:uid="{84942B71-4DC2-4332-9EFD-96813D67F52D}"/>
    <cellStyle name="20% - Accent2 3 6 3" xfId="6170" xr:uid="{00000000-0005-0000-0000-000016010000}"/>
    <cellStyle name="20% - Accent2 3 6 3 2" xfId="23105" xr:uid="{7A34C361-2D0C-4B82-A8AE-5721075460D8}"/>
    <cellStyle name="20% - Accent2 3 6 3 3" xfId="14664" xr:uid="{41837A68-90B2-40DB-96BB-6686DE358264}"/>
    <cellStyle name="20% - Accent2 3 6 4" xfId="18887" xr:uid="{DD8A8E3A-B8BE-4515-B21B-4E0C9F2EB99E}"/>
    <cellStyle name="20% - Accent2 3 6 5" xfId="10413" xr:uid="{C9828323-C6E2-4914-AE52-26CF5DC76962}"/>
    <cellStyle name="20% - Accent2 3 7" xfId="2277" xr:uid="{00000000-0005-0000-0000-000017010000}"/>
    <cellStyle name="20% - Accent2 3 7 2" xfId="6583" xr:uid="{00000000-0005-0000-0000-000018010000}"/>
    <cellStyle name="20% - Accent2 3 7 2 2" xfId="23518" xr:uid="{C6F08862-C3B9-40CC-834B-4B9F23928C92}"/>
    <cellStyle name="20% - Accent2 3 7 2 3" xfId="15077" xr:uid="{21CFB3B5-5797-4301-AF1A-62E85E7DDD09}"/>
    <cellStyle name="20% - Accent2 3 7 3" xfId="19300" xr:uid="{FD8C6523-5888-4470-AF8D-5609FA8A6D07}"/>
    <cellStyle name="20% - Accent2 3 7 4" xfId="10826" xr:uid="{09463772-7AFA-4FC0-86AC-F95A7DA923B1}"/>
    <cellStyle name="20% - Accent2 3 8" xfId="4517" xr:uid="{00000000-0005-0000-0000-000019010000}"/>
    <cellStyle name="20% - Accent2 3 8 2" xfId="21452" xr:uid="{C1A8FDF7-DA6D-478E-9435-840FF34726D6}"/>
    <cellStyle name="20% - Accent2 3 8 3" xfId="13011" xr:uid="{1251A6FB-FFC3-4AF0-BD23-1DD7FECADC7C}"/>
    <cellStyle name="20% - Accent2 3 9" xfId="17234" xr:uid="{010DDC30-DE88-4346-AD68-B723207A7032}"/>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24013" xr:uid="{3C5AB472-2E02-49B8-BB9A-C0AD17193DD0}"/>
    <cellStyle name="20% - Accent2 4 2 2 2 3" xfId="15572" xr:uid="{149F47BD-A14F-4949-BDEA-3F60BBA61845}"/>
    <cellStyle name="20% - Accent2 4 2 2 3" xfId="19795" xr:uid="{88E02D0C-A747-45DB-BD81-A63A01418841}"/>
    <cellStyle name="20% - Accent2 4 2 2 4" xfId="11353" xr:uid="{CE0D5587-C10A-4CC5-9B74-F28C26D493D8}"/>
    <cellStyle name="20% - Accent2 4 2 3" xfId="4933" xr:uid="{00000000-0005-0000-0000-00001E010000}"/>
    <cellStyle name="20% - Accent2 4 2 3 2" xfId="21868" xr:uid="{985FFCE6-43F9-4DFC-B792-7B6DF3362C60}"/>
    <cellStyle name="20% - Accent2 4 2 3 3" xfId="13427" xr:uid="{3335ED4F-00F7-4C50-8A2D-4D15701714E0}"/>
    <cellStyle name="20% - Accent2 4 2 4" xfId="17650" xr:uid="{102A5503-0B55-4FBF-85D0-C7AB63A1EC77}"/>
    <cellStyle name="20% - Accent2 4 2 5" xfId="9175" xr:uid="{31A6589A-6686-479D-91C3-1994C2104F4A}"/>
    <cellStyle name="20% - Accent2 4 3" xfId="1038" xr:uid="{00000000-0005-0000-0000-00001F010000}"/>
    <cellStyle name="20% - Accent2 4 3 2" xfId="3269" xr:uid="{00000000-0005-0000-0000-000020010000}"/>
    <cellStyle name="20% - Accent2 4 3 2 2" xfId="7491" xr:uid="{00000000-0005-0000-0000-000021010000}"/>
    <cellStyle name="20% - Accent2 4 3 2 2 2" xfId="24426" xr:uid="{8A4A629C-D426-4711-A065-2F71DDFE9F2C}"/>
    <cellStyle name="20% - Accent2 4 3 2 2 3" xfId="15985" xr:uid="{7A142C3B-5055-474F-9C11-437E19B937ED}"/>
    <cellStyle name="20% - Accent2 4 3 2 3" xfId="20208" xr:uid="{9AF0D0C4-D1F5-4F7F-85D0-AAB2CDFE8898}"/>
    <cellStyle name="20% - Accent2 4 3 2 4" xfId="11766" xr:uid="{C78552A6-8933-45A1-A3EE-74717A5867AB}"/>
    <cellStyle name="20% - Accent2 4 3 3" xfId="5346" xr:uid="{00000000-0005-0000-0000-000022010000}"/>
    <cellStyle name="20% - Accent2 4 3 3 2" xfId="22281" xr:uid="{35ECE730-F420-4BFC-A629-D3CE42704E89}"/>
    <cellStyle name="20% - Accent2 4 3 3 3" xfId="13840" xr:uid="{E6422B6B-3B8D-4B94-80B4-55491B588282}"/>
    <cellStyle name="20% - Accent2 4 3 4" xfId="18063" xr:uid="{CBA152A1-1104-499C-A7F9-754BE2FF2CB2}"/>
    <cellStyle name="20% - Accent2 4 3 5" xfId="9589" xr:uid="{35CF383E-FBC2-4374-93B0-DB3047FE8C32}"/>
    <cellStyle name="20% - Accent2 4 4" xfId="1452" xr:uid="{00000000-0005-0000-0000-000023010000}"/>
    <cellStyle name="20% - Accent2 4 4 2" xfId="3682" xr:uid="{00000000-0005-0000-0000-000024010000}"/>
    <cellStyle name="20% - Accent2 4 4 2 2" xfId="7904" xr:uid="{00000000-0005-0000-0000-000025010000}"/>
    <cellStyle name="20% - Accent2 4 4 2 2 2" xfId="24839" xr:uid="{BF7A8ECF-06D2-458C-BA54-808465DB836D}"/>
    <cellStyle name="20% - Accent2 4 4 2 2 3" xfId="16398" xr:uid="{96D8E8CC-DCF9-4DA5-BBE8-17CCFF0883E4}"/>
    <cellStyle name="20% - Accent2 4 4 2 3" xfId="20621" xr:uid="{B324F36F-F1F0-48DA-BBC8-1A2300E621CB}"/>
    <cellStyle name="20% - Accent2 4 4 2 4" xfId="12179" xr:uid="{0EE2EE4F-612A-4528-BA10-58681C05DD00}"/>
    <cellStyle name="20% - Accent2 4 4 3" xfId="5759" xr:uid="{00000000-0005-0000-0000-000026010000}"/>
    <cellStyle name="20% - Accent2 4 4 3 2" xfId="22694" xr:uid="{3A2570C3-D284-406A-AB69-04891895012B}"/>
    <cellStyle name="20% - Accent2 4 4 3 3" xfId="14253" xr:uid="{760D6C56-2228-4AAD-9E18-BBEF817F76DD}"/>
    <cellStyle name="20% - Accent2 4 4 4" xfId="18476" xr:uid="{089BD1A1-68C4-4398-9116-9811233B232E}"/>
    <cellStyle name="20% - Accent2 4 4 5" xfId="10002" xr:uid="{421247A0-FF83-422F-83FF-A15E7A69FF4A}"/>
    <cellStyle name="20% - Accent2 4 5" xfId="1866" xr:uid="{00000000-0005-0000-0000-000027010000}"/>
    <cellStyle name="20% - Accent2 4 5 2" xfId="4095" xr:uid="{00000000-0005-0000-0000-000028010000}"/>
    <cellStyle name="20% - Accent2 4 5 2 2" xfId="8317" xr:uid="{00000000-0005-0000-0000-000029010000}"/>
    <cellStyle name="20% - Accent2 4 5 2 2 2" xfId="25252" xr:uid="{529A947F-DFE5-4647-AF4F-D596BD6B3F11}"/>
    <cellStyle name="20% - Accent2 4 5 2 2 3" xfId="16811" xr:uid="{7E4C25C2-F49D-47F1-BA81-744B8FB391CE}"/>
    <cellStyle name="20% - Accent2 4 5 2 3" xfId="21034" xr:uid="{74C23EE6-204A-4687-B439-FA96087A4393}"/>
    <cellStyle name="20% - Accent2 4 5 2 4" xfId="12592" xr:uid="{DFB3E273-3E71-4210-B6DB-F76E8E93EC66}"/>
    <cellStyle name="20% - Accent2 4 5 3" xfId="6172" xr:uid="{00000000-0005-0000-0000-00002A010000}"/>
    <cellStyle name="20% - Accent2 4 5 3 2" xfId="23107" xr:uid="{1794C7CB-0909-4B87-B0C4-459215695E0B}"/>
    <cellStyle name="20% - Accent2 4 5 3 3" xfId="14666" xr:uid="{CF2B73C5-0C04-4993-80B6-39E4C771B0CF}"/>
    <cellStyle name="20% - Accent2 4 5 4" xfId="18889" xr:uid="{231D7EEC-D473-4120-A8EB-A262E9B6DC39}"/>
    <cellStyle name="20% - Accent2 4 5 5" xfId="10415" xr:uid="{D85D31C0-DBED-463E-AB42-F3852EC962FA}"/>
    <cellStyle name="20% - Accent2 4 6" xfId="2279" xr:uid="{00000000-0005-0000-0000-00002B010000}"/>
    <cellStyle name="20% - Accent2 4 6 2" xfId="6585" xr:uid="{00000000-0005-0000-0000-00002C010000}"/>
    <cellStyle name="20% - Accent2 4 6 2 2" xfId="23520" xr:uid="{36B68EDA-769D-48C2-A1A3-AAD1AADF212A}"/>
    <cellStyle name="20% - Accent2 4 6 2 3" xfId="15079" xr:uid="{24B9932C-A52C-4076-9CFC-777AE28500BC}"/>
    <cellStyle name="20% - Accent2 4 6 3" xfId="19302" xr:uid="{0099D915-829C-4659-9F34-3AB6863CD212}"/>
    <cellStyle name="20% - Accent2 4 6 4" xfId="10828" xr:uid="{EF3880C5-2E5C-41C1-A3DE-C21544DA9B82}"/>
    <cellStyle name="20% - Accent2 4 7" xfId="4519" xr:uid="{00000000-0005-0000-0000-00002D010000}"/>
    <cellStyle name="20% - Accent2 4 7 2" xfId="21454" xr:uid="{A19D18E6-DC89-40F0-AC40-A9AC62F3F0A6}"/>
    <cellStyle name="20% - Accent2 4 7 3" xfId="13013" xr:uid="{64133785-63D5-4DEB-9162-8824692448A9}"/>
    <cellStyle name="20% - Accent2 4 8" xfId="17236" xr:uid="{CDF83982-CF73-4D04-94EF-619EDEA09E90}"/>
    <cellStyle name="20% - Accent2 4 9" xfId="8751" xr:uid="{1CE6CDF9-22A8-49B3-B649-04E006EABE6E}"/>
    <cellStyle name="20% - Accent2 5" xfId="578" xr:uid="{00000000-0005-0000-0000-00002E010000}"/>
    <cellStyle name="20% - Accent2 5 2" xfId="2849" xr:uid="{00000000-0005-0000-0000-00002F010000}"/>
    <cellStyle name="20% - Accent2 5 2 2" xfId="7071" xr:uid="{00000000-0005-0000-0000-000030010000}"/>
    <cellStyle name="20% - Accent2 5 2 2 2" xfId="24006" xr:uid="{8FB39AC0-B666-432F-A0CC-C30F3582945A}"/>
    <cellStyle name="20% - Accent2 5 2 2 3" xfId="15565" xr:uid="{61D660CC-EE24-47EB-94FC-0FBBA744245E}"/>
    <cellStyle name="20% - Accent2 5 2 3" xfId="19788" xr:uid="{B2AD0929-EC40-4E6D-B11E-93F41012E6FD}"/>
    <cellStyle name="20% - Accent2 5 2 4" xfId="11346" xr:uid="{7430BB63-1D63-4425-9DF5-7A17AE12B346}"/>
    <cellStyle name="20% - Accent2 5 3" xfId="4926" xr:uid="{00000000-0005-0000-0000-000031010000}"/>
    <cellStyle name="20% - Accent2 5 3 2" xfId="21861" xr:uid="{609CF7FE-9A09-4D19-BF0C-2C1BE9CB0025}"/>
    <cellStyle name="20% - Accent2 5 3 3" xfId="13420" xr:uid="{DE82A36E-6BEA-42F5-A7D9-9CB374E401A1}"/>
    <cellStyle name="20% - Accent2 5 4" xfId="17643" xr:uid="{BD517FF7-5CC3-4C0E-BD28-705C577EF509}"/>
    <cellStyle name="20% - Accent2 5 5" xfId="9168" xr:uid="{E1305B88-9BB0-49F7-AB79-DE4C93BEDCAE}"/>
    <cellStyle name="20% - Accent2 6" xfId="1031" xr:uid="{00000000-0005-0000-0000-000032010000}"/>
    <cellStyle name="20% - Accent2 6 2" xfId="3262" xr:uid="{00000000-0005-0000-0000-000033010000}"/>
    <cellStyle name="20% - Accent2 6 2 2" xfId="7484" xr:uid="{00000000-0005-0000-0000-000034010000}"/>
    <cellStyle name="20% - Accent2 6 2 2 2" xfId="24419" xr:uid="{D4EAC469-AEB2-48AC-8123-71496AEE71C6}"/>
    <cellStyle name="20% - Accent2 6 2 2 3" xfId="15978" xr:uid="{A99AAA13-DE96-44D3-ACED-D3D82733B7E5}"/>
    <cellStyle name="20% - Accent2 6 2 3" xfId="20201" xr:uid="{B48B4CC7-B203-4FF3-9E19-1FFF58059854}"/>
    <cellStyle name="20% - Accent2 6 2 4" xfId="11759" xr:uid="{09E9A89E-5B19-4B10-96C0-3D2C7B2625BB}"/>
    <cellStyle name="20% - Accent2 6 3" xfId="5339" xr:uid="{00000000-0005-0000-0000-000035010000}"/>
    <cellStyle name="20% - Accent2 6 3 2" xfId="22274" xr:uid="{8332FE28-6AE8-4FB6-91D2-A8E128AC9ABF}"/>
    <cellStyle name="20% - Accent2 6 3 3" xfId="13833" xr:uid="{1ACE655D-7728-4265-8FBC-2B17F042FB66}"/>
    <cellStyle name="20% - Accent2 6 4" xfId="18056" xr:uid="{0B6237DE-D0E9-400E-AF95-03AC34302B03}"/>
    <cellStyle name="20% - Accent2 6 5" xfId="9582" xr:uid="{CE75BDDA-48F3-443D-BAB2-8A89CBEF43F2}"/>
    <cellStyle name="20% - Accent2 7" xfId="1445" xr:uid="{00000000-0005-0000-0000-000036010000}"/>
    <cellStyle name="20% - Accent2 7 2" xfId="3675" xr:uid="{00000000-0005-0000-0000-000037010000}"/>
    <cellStyle name="20% - Accent2 7 2 2" xfId="7897" xr:uid="{00000000-0005-0000-0000-000038010000}"/>
    <cellStyle name="20% - Accent2 7 2 2 2" xfId="24832" xr:uid="{17911D59-C0C4-4FF6-ABB5-35E780CB4A16}"/>
    <cellStyle name="20% - Accent2 7 2 2 3" xfId="16391" xr:uid="{0C6C9CB5-6DEC-485B-BDCF-E5EE8FDC0ACB}"/>
    <cellStyle name="20% - Accent2 7 2 3" xfId="20614" xr:uid="{08B70F8B-6EE4-46CF-B723-95CA555E835E}"/>
    <cellStyle name="20% - Accent2 7 2 4" xfId="12172" xr:uid="{77285F1B-5244-4933-905D-97FB85E7BCE8}"/>
    <cellStyle name="20% - Accent2 7 3" xfId="5752" xr:uid="{00000000-0005-0000-0000-000039010000}"/>
    <cellStyle name="20% - Accent2 7 3 2" xfId="22687" xr:uid="{95C42708-F50E-442B-99CF-7A7BEACAAA80}"/>
    <cellStyle name="20% - Accent2 7 3 3" xfId="14246" xr:uid="{E980C18A-6309-4220-8561-09FDD77C0B22}"/>
    <cellStyle name="20% - Accent2 7 4" xfId="18469" xr:uid="{16D6849B-F2DA-44DF-A01D-C0CFC06781A8}"/>
    <cellStyle name="20% - Accent2 7 5" xfId="9995" xr:uid="{15902EC3-6CE7-4448-82BE-3AAC85414AB7}"/>
    <cellStyle name="20% - Accent2 8" xfId="1859" xr:uid="{00000000-0005-0000-0000-00003A010000}"/>
    <cellStyle name="20% - Accent2 8 2" xfId="4088" xr:uid="{00000000-0005-0000-0000-00003B010000}"/>
    <cellStyle name="20% - Accent2 8 2 2" xfId="8310" xr:uid="{00000000-0005-0000-0000-00003C010000}"/>
    <cellStyle name="20% - Accent2 8 2 2 2" xfId="25245" xr:uid="{4982DBBB-7C98-4E8D-8845-C184F6BD89D9}"/>
    <cellStyle name="20% - Accent2 8 2 2 3" xfId="16804" xr:uid="{743D77FB-91BD-4E6C-8A33-816E44074E07}"/>
    <cellStyle name="20% - Accent2 8 2 3" xfId="21027" xr:uid="{5DE11C92-2467-4173-9F1B-4883AF3BCFFC}"/>
    <cellStyle name="20% - Accent2 8 2 4" xfId="12585" xr:uid="{2BB7E68F-8424-4617-9BFF-3367FAC32D5B}"/>
    <cellStyle name="20% - Accent2 8 3" xfId="6165" xr:uid="{00000000-0005-0000-0000-00003D010000}"/>
    <cellStyle name="20% - Accent2 8 3 2" xfId="23100" xr:uid="{08285817-47EF-44AC-9D46-72796A660B07}"/>
    <cellStyle name="20% - Accent2 8 3 3" xfId="14659" xr:uid="{B966916B-BB5A-4935-BB2B-F356EAF7BA51}"/>
    <cellStyle name="20% - Accent2 8 4" xfId="18882" xr:uid="{7376A79A-C465-46D9-AD40-041F0CC37CC2}"/>
    <cellStyle name="20% - Accent2 8 5" xfId="10408" xr:uid="{4CDBA218-74C6-4B92-B9FB-FDD387E06919}"/>
    <cellStyle name="20% - Accent2 9" xfId="2272" xr:uid="{00000000-0005-0000-0000-00003E010000}"/>
    <cellStyle name="20% - Accent2 9 2" xfId="6578" xr:uid="{00000000-0005-0000-0000-00003F010000}"/>
    <cellStyle name="20% - Accent2 9 2 2" xfId="23513" xr:uid="{0EC09921-AE36-46C2-9A14-E9E25D21F96D}"/>
    <cellStyle name="20% - Accent2 9 2 3" xfId="15072" xr:uid="{74F35B97-C80A-410F-84E7-CA6CC1DED02A}"/>
    <cellStyle name="20% - Accent2 9 3" xfId="19295" xr:uid="{14929DFC-AE08-407F-9E39-7E94A30FCBB9}"/>
    <cellStyle name="20% - Accent2 9 4" xfId="10821" xr:uid="{EE8697F1-BED2-4C68-9B25-9C2B79BA3753}"/>
    <cellStyle name="20% - Accent3" xfId="17" builtinId="38" customBuiltin="1"/>
    <cellStyle name="20% - Accent3 10" xfId="4520" xr:uid="{00000000-0005-0000-0000-000041010000}"/>
    <cellStyle name="20% - Accent3 10 2" xfId="21455" xr:uid="{3E27145F-DCB2-4952-804B-37AA042CBF4F}"/>
    <cellStyle name="20% - Accent3 10 3" xfId="13014" xr:uid="{FC1F32D6-995C-4FFD-895E-65CB8FA6D5ED}"/>
    <cellStyle name="20% - Accent3 11" xfId="17237" xr:uid="{72501D77-21EE-4880-93A0-C858B56A9C47}"/>
    <cellStyle name="20% - Accent3 12" xfId="8752" xr:uid="{6BF2D7CF-541D-42A0-8E9B-956C714C0432}"/>
    <cellStyle name="20% - Accent3 2" xfId="18" xr:uid="{00000000-0005-0000-0000-000042010000}"/>
    <cellStyle name="20% - Accent3 2 10" xfId="17238" xr:uid="{8D147EE6-DAE8-45ED-B94E-D80DF063FACA}"/>
    <cellStyle name="20% - Accent3 2 11" xfId="8753" xr:uid="{2149CAAD-3DD9-4D06-BC29-8C1D5D6367F3}"/>
    <cellStyle name="20% - Accent3 2 2" xfId="19" xr:uid="{00000000-0005-0000-0000-000043010000}"/>
    <cellStyle name="20% - Accent3 2 2 10" xfId="8754" xr:uid="{FA7BD6A1-9ADB-4AB3-99F3-015A5C09784F}"/>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4017" xr:uid="{91910AEB-227B-4D08-BEDA-32BEB01A6EA1}"/>
    <cellStyle name="20% - Accent3 2 2 2 2 2 2 3" xfId="15576" xr:uid="{58FF6AF8-CDBB-4650-96A2-F191EE6E3C07}"/>
    <cellStyle name="20% - Accent3 2 2 2 2 2 3" xfId="19799" xr:uid="{9DE02F0D-65E5-44C9-9D7B-A5E4EE8E4BF9}"/>
    <cellStyle name="20% - Accent3 2 2 2 2 2 4" xfId="11357" xr:uid="{A37C769A-BAD8-4D2E-83EC-C86CF1FF23A8}"/>
    <cellStyle name="20% - Accent3 2 2 2 2 3" xfId="4937" xr:uid="{00000000-0005-0000-0000-000048010000}"/>
    <cellStyle name="20% - Accent3 2 2 2 2 3 2" xfId="21872" xr:uid="{191FAD94-9D0F-426D-904E-0C1F45221DF9}"/>
    <cellStyle name="20% - Accent3 2 2 2 2 3 3" xfId="13431" xr:uid="{82637FC3-ADA7-44E8-B2F1-9EE0048CB079}"/>
    <cellStyle name="20% - Accent3 2 2 2 2 4" xfId="17654" xr:uid="{FF3A6177-B2F6-4596-857D-11254351D7D2}"/>
    <cellStyle name="20% - Accent3 2 2 2 2 5" xfId="9179" xr:uid="{18F066B4-0053-4A4F-9F08-0CD41B1BE0F7}"/>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4430" xr:uid="{794FF391-AD6E-48B5-A533-44ADC8C92465}"/>
    <cellStyle name="20% - Accent3 2 2 2 3 2 2 3" xfId="15989" xr:uid="{C46FD1F1-4A4D-4234-823B-F287FC596968}"/>
    <cellStyle name="20% - Accent3 2 2 2 3 2 3" xfId="20212" xr:uid="{0DDCA9B5-9B7B-44AB-B6D7-1C950DCD825E}"/>
    <cellStyle name="20% - Accent3 2 2 2 3 2 4" xfId="11770" xr:uid="{8C75C8AB-9AD1-48B7-93FD-A5D1FA69B7E9}"/>
    <cellStyle name="20% - Accent3 2 2 2 3 3" xfId="5350" xr:uid="{00000000-0005-0000-0000-00004C010000}"/>
    <cellStyle name="20% - Accent3 2 2 2 3 3 2" xfId="22285" xr:uid="{22625C02-3918-4D5B-BD18-F55985E3FF35}"/>
    <cellStyle name="20% - Accent3 2 2 2 3 3 3" xfId="13844" xr:uid="{E74EC6CF-123B-4A00-B7A1-39888B3DE264}"/>
    <cellStyle name="20% - Accent3 2 2 2 3 4" xfId="18067" xr:uid="{41A6435E-B8EF-4C6D-AC46-0AD16404B72C}"/>
    <cellStyle name="20% - Accent3 2 2 2 3 5" xfId="9593" xr:uid="{8CE889DB-06AD-4436-9E41-C1786C9A599A}"/>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4843" xr:uid="{AB169B95-0EF1-4F23-8907-34586EBBDC7A}"/>
    <cellStyle name="20% - Accent3 2 2 2 4 2 2 3" xfId="16402" xr:uid="{AE8D57A8-E828-4E6D-B0D2-1BB31C5F54D7}"/>
    <cellStyle name="20% - Accent3 2 2 2 4 2 3" xfId="20625" xr:uid="{AE1D66BB-8313-477A-9C99-6E8910B10AC9}"/>
    <cellStyle name="20% - Accent3 2 2 2 4 2 4" xfId="12183" xr:uid="{35A19262-141F-46DD-B920-5F39046F2F62}"/>
    <cellStyle name="20% - Accent3 2 2 2 4 3" xfId="5763" xr:uid="{00000000-0005-0000-0000-000050010000}"/>
    <cellStyle name="20% - Accent3 2 2 2 4 3 2" xfId="22698" xr:uid="{B23C0372-9D1B-4BA9-8601-6192B0792883}"/>
    <cellStyle name="20% - Accent3 2 2 2 4 3 3" xfId="14257" xr:uid="{C3F49536-FF2C-4ADF-A769-71178F8A4F85}"/>
    <cellStyle name="20% - Accent3 2 2 2 4 4" xfId="18480" xr:uid="{7F5D8AEB-D455-4EDD-8473-B591DFADDB83}"/>
    <cellStyle name="20% - Accent3 2 2 2 4 5" xfId="10006" xr:uid="{37ED8475-751C-4F63-9F37-9A32DB0EB241}"/>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5256" xr:uid="{CBB40597-EF55-4E5E-AE7C-68F41C1CAE69}"/>
    <cellStyle name="20% - Accent3 2 2 2 5 2 2 3" xfId="16815" xr:uid="{CF781352-FAE8-4529-97A1-D17282BDEF93}"/>
    <cellStyle name="20% - Accent3 2 2 2 5 2 3" xfId="21038" xr:uid="{E6CCA574-DA2B-4AA8-854C-D89B29C12033}"/>
    <cellStyle name="20% - Accent3 2 2 2 5 2 4" xfId="12596" xr:uid="{67F9EFD0-78E3-4206-B668-5F45BAEDFB2B}"/>
    <cellStyle name="20% - Accent3 2 2 2 5 3" xfId="6176" xr:uid="{00000000-0005-0000-0000-000054010000}"/>
    <cellStyle name="20% - Accent3 2 2 2 5 3 2" xfId="23111" xr:uid="{219E9B34-FE03-4948-9519-8A13838D3DB6}"/>
    <cellStyle name="20% - Accent3 2 2 2 5 3 3" xfId="14670" xr:uid="{867A8B8C-052F-458A-B7A8-F03FE725B20E}"/>
    <cellStyle name="20% - Accent3 2 2 2 5 4" xfId="18893" xr:uid="{E616EC28-7C44-4285-A960-7918D2EBAE2B}"/>
    <cellStyle name="20% - Accent3 2 2 2 5 5" xfId="10419" xr:uid="{BE65022F-FE14-45FA-B418-5BF95C202610}"/>
    <cellStyle name="20% - Accent3 2 2 2 6" xfId="2283" xr:uid="{00000000-0005-0000-0000-000055010000}"/>
    <cellStyle name="20% - Accent3 2 2 2 6 2" xfId="6589" xr:uid="{00000000-0005-0000-0000-000056010000}"/>
    <cellStyle name="20% - Accent3 2 2 2 6 2 2" xfId="23524" xr:uid="{6F686F35-8988-4149-983F-F3B37B81BD43}"/>
    <cellStyle name="20% - Accent3 2 2 2 6 2 3" xfId="15083" xr:uid="{5B90FA9E-CD9B-4F12-9703-2A001ED47595}"/>
    <cellStyle name="20% - Accent3 2 2 2 6 3" xfId="19306" xr:uid="{62C95872-3222-4C8B-B10C-A81C6F9B4AB9}"/>
    <cellStyle name="20% - Accent3 2 2 2 6 4" xfId="10832" xr:uid="{3AB349C2-4137-4C39-B435-F4EE25354E5A}"/>
    <cellStyle name="20% - Accent3 2 2 2 7" xfId="4523" xr:uid="{00000000-0005-0000-0000-000057010000}"/>
    <cellStyle name="20% - Accent3 2 2 2 7 2" xfId="21458" xr:uid="{C94EC56D-BE6D-4E12-BF73-7E140FCCBAB7}"/>
    <cellStyle name="20% - Accent3 2 2 2 7 3" xfId="13017" xr:uid="{661D15C8-5774-4E88-9778-18ED51CEC431}"/>
    <cellStyle name="20% - Accent3 2 2 2 8" xfId="17240" xr:uid="{21E07EF3-F3E6-4895-9ACF-3C3D8C650A17}"/>
    <cellStyle name="20% - Accent3 2 2 2 9" xfId="8755" xr:uid="{299C2E08-00F0-4338-99C9-EBF6C823B563}"/>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4016" xr:uid="{90A908EE-3C38-4545-B30E-0FECB1498DD4}"/>
    <cellStyle name="20% - Accent3 2 2 3 2 2 3" xfId="15575" xr:uid="{DEAB81C9-6A6B-42D0-9A7A-98A688C254A3}"/>
    <cellStyle name="20% - Accent3 2 2 3 2 3" xfId="19798" xr:uid="{E76546DA-BE6E-4C83-A406-91A245ECF519}"/>
    <cellStyle name="20% - Accent3 2 2 3 2 4" xfId="11356" xr:uid="{4F9DE384-26F7-4FF6-ACBD-2CCE60F9630A}"/>
    <cellStyle name="20% - Accent3 2 2 3 3" xfId="4936" xr:uid="{00000000-0005-0000-0000-00005B010000}"/>
    <cellStyle name="20% - Accent3 2 2 3 3 2" xfId="21871" xr:uid="{882C0C2F-20A8-4307-AB4A-8CEC5C08ADB0}"/>
    <cellStyle name="20% - Accent3 2 2 3 3 3" xfId="13430" xr:uid="{06DD3DB4-BD94-4131-B6EC-029E46D947D6}"/>
    <cellStyle name="20% - Accent3 2 2 3 4" xfId="17653" xr:uid="{7BD4FA6A-C2F5-4E5B-84AC-66F1FDCF0A6C}"/>
    <cellStyle name="20% - Accent3 2 2 3 5" xfId="9178" xr:uid="{B6B88C53-39A3-4310-8100-243AAA35E8EA}"/>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4429" xr:uid="{6588FAD7-0785-4063-9C63-8D6C084D0DE9}"/>
    <cellStyle name="20% - Accent3 2 2 4 2 2 3" xfId="15988" xr:uid="{A5C338AD-68B1-45DA-BE53-AD9BA2DEA165}"/>
    <cellStyle name="20% - Accent3 2 2 4 2 3" xfId="20211" xr:uid="{1C363E6A-239B-47E8-9381-435D4D4EFCC9}"/>
    <cellStyle name="20% - Accent3 2 2 4 2 4" xfId="11769" xr:uid="{3E3A2E37-3FDD-4395-AFEA-545C463916CE}"/>
    <cellStyle name="20% - Accent3 2 2 4 3" xfId="5349" xr:uid="{00000000-0005-0000-0000-00005F010000}"/>
    <cellStyle name="20% - Accent3 2 2 4 3 2" xfId="22284" xr:uid="{A6F5C70A-1607-4C18-8425-88B826ACAF77}"/>
    <cellStyle name="20% - Accent3 2 2 4 3 3" xfId="13843" xr:uid="{1023414E-62DA-4423-86F5-3E17932CAAC1}"/>
    <cellStyle name="20% - Accent3 2 2 4 4" xfId="18066" xr:uid="{67F46148-B677-4748-A779-44C36A7AA67E}"/>
    <cellStyle name="20% - Accent3 2 2 4 5" xfId="9592" xr:uid="{DD7FB6F7-7091-4660-AB0A-517637AACC3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4842" xr:uid="{151FBC97-0B06-4C5C-957B-4D6BF66183F1}"/>
    <cellStyle name="20% - Accent3 2 2 5 2 2 3" xfId="16401" xr:uid="{589910B7-8C39-4B33-90AC-6BF17A610FAE}"/>
    <cellStyle name="20% - Accent3 2 2 5 2 3" xfId="20624" xr:uid="{157D9B16-48FD-4C52-9697-C52B460EF4B8}"/>
    <cellStyle name="20% - Accent3 2 2 5 2 4" xfId="12182" xr:uid="{8CAE40EA-DD62-46ED-857D-2C890FF67F85}"/>
    <cellStyle name="20% - Accent3 2 2 5 3" xfId="5762" xr:uid="{00000000-0005-0000-0000-000063010000}"/>
    <cellStyle name="20% - Accent3 2 2 5 3 2" xfId="22697" xr:uid="{75621023-1F13-4976-AD44-41DBFEB261DD}"/>
    <cellStyle name="20% - Accent3 2 2 5 3 3" xfId="14256" xr:uid="{280C5F53-F18C-403E-B4E0-D2FAE62B2AC2}"/>
    <cellStyle name="20% - Accent3 2 2 5 4" xfId="18479" xr:uid="{807C0F52-E3CE-47A5-B91E-27F780B2B9B1}"/>
    <cellStyle name="20% - Accent3 2 2 5 5" xfId="10005" xr:uid="{622265EF-0C83-4776-B24E-D86BDE5528B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5255" xr:uid="{95128137-FA4A-41E2-AA96-F8CAE2691FD4}"/>
    <cellStyle name="20% - Accent3 2 2 6 2 2 3" xfId="16814" xr:uid="{3C2B5633-085E-4CAE-97AA-41789FFDB257}"/>
    <cellStyle name="20% - Accent3 2 2 6 2 3" xfId="21037" xr:uid="{FA854575-04F7-4C19-98E0-F1A6DC00D177}"/>
    <cellStyle name="20% - Accent3 2 2 6 2 4" xfId="12595" xr:uid="{8BD8C3EB-7EA7-4DBD-9C46-E61E75325A21}"/>
    <cellStyle name="20% - Accent3 2 2 6 3" xfId="6175" xr:uid="{00000000-0005-0000-0000-000067010000}"/>
    <cellStyle name="20% - Accent3 2 2 6 3 2" xfId="23110" xr:uid="{71831032-F5A1-435E-8D62-5DC5534C33A1}"/>
    <cellStyle name="20% - Accent3 2 2 6 3 3" xfId="14669" xr:uid="{8F01F821-17F7-42A1-904E-EAB01270D183}"/>
    <cellStyle name="20% - Accent3 2 2 6 4" xfId="18892" xr:uid="{6ED1AE6E-972D-43E5-96C6-DFD6C71D69BD}"/>
    <cellStyle name="20% - Accent3 2 2 6 5" xfId="10418" xr:uid="{179F75C2-DFCA-4C6C-AE1C-79CBB56D7A8C}"/>
    <cellStyle name="20% - Accent3 2 2 7" xfId="2282" xr:uid="{00000000-0005-0000-0000-000068010000}"/>
    <cellStyle name="20% - Accent3 2 2 7 2" xfId="6588" xr:uid="{00000000-0005-0000-0000-000069010000}"/>
    <cellStyle name="20% - Accent3 2 2 7 2 2" xfId="23523" xr:uid="{946AE2F4-77D7-4511-A7B5-F07DE516CDC7}"/>
    <cellStyle name="20% - Accent3 2 2 7 2 3" xfId="15082" xr:uid="{77F37A37-438E-4EDA-97C5-677BBB0D13A2}"/>
    <cellStyle name="20% - Accent3 2 2 7 3" xfId="19305" xr:uid="{E838A415-0B16-40A9-8F7E-61001792F249}"/>
    <cellStyle name="20% - Accent3 2 2 7 4" xfId="10831" xr:uid="{3947A411-E469-4FE0-BA47-E5FE437B10CC}"/>
    <cellStyle name="20% - Accent3 2 2 8" xfId="4522" xr:uid="{00000000-0005-0000-0000-00006A010000}"/>
    <cellStyle name="20% - Accent3 2 2 8 2" xfId="21457" xr:uid="{7492AFD3-A71F-4D21-8BDE-22FE551E60BE}"/>
    <cellStyle name="20% - Accent3 2 2 8 3" xfId="13016" xr:uid="{7B36D388-C250-4244-B42D-4EFEDFB3F608}"/>
    <cellStyle name="20% - Accent3 2 2 9" xfId="17239" xr:uid="{2987F94B-CA6B-426B-82C0-29FD799D9852}"/>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4018" xr:uid="{50439456-3ABC-4DE4-ADDC-B70FBF48AEA6}"/>
    <cellStyle name="20% - Accent3 2 3 2 2 2 3" xfId="15577" xr:uid="{BE697B32-6488-4573-8E02-D51ABE3F3140}"/>
    <cellStyle name="20% - Accent3 2 3 2 2 3" xfId="19800" xr:uid="{E7792C5F-5055-4CAD-B50C-BFC9F8E0B2DF}"/>
    <cellStyle name="20% - Accent3 2 3 2 2 4" xfId="11358" xr:uid="{A1FA81D5-44CA-4458-92FF-681D863B43C6}"/>
    <cellStyle name="20% - Accent3 2 3 2 3" xfId="4938" xr:uid="{00000000-0005-0000-0000-00006F010000}"/>
    <cellStyle name="20% - Accent3 2 3 2 3 2" xfId="21873" xr:uid="{4D513FAC-A2CA-4E3A-A2AD-D031017999B2}"/>
    <cellStyle name="20% - Accent3 2 3 2 3 3" xfId="13432" xr:uid="{E15A06F5-DAF9-4A0C-B8C0-C74E2F560BF2}"/>
    <cellStyle name="20% - Accent3 2 3 2 4" xfId="17655" xr:uid="{914EFD4C-ABF4-40E8-B272-EC44B21D6DF8}"/>
    <cellStyle name="20% - Accent3 2 3 2 5" xfId="9180" xr:uid="{1714CE6C-A657-4FFA-B34D-8DE37A92C005}"/>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4431" xr:uid="{0865F3EC-47FB-4AA8-927F-408339066838}"/>
    <cellStyle name="20% - Accent3 2 3 3 2 2 3" xfId="15990" xr:uid="{E7E59E49-5120-4255-93B2-F83CE6EEB002}"/>
    <cellStyle name="20% - Accent3 2 3 3 2 3" xfId="20213" xr:uid="{CA9E415C-A883-4819-94CD-7F47D254FCBC}"/>
    <cellStyle name="20% - Accent3 2 3 3 2 4" xfId="11771" xr:uid="{71387E93-225D-443A-8D66-E918A6B8A649}"/>
    <cellStyle name="20% - Accent3 2 3 3 3" xfId="5351" xr:uid="{00000000-0005-0000-0000-000073010000}"/>
    <cellStyle name="20% - Accent3 2 3 3 3 2" xfId="22286" xr:uid="{1E391F66-F1FD-4512-BBD4-5ED5E981FF97}"/>
    <cellStyle name="20% - Accent3 2 3 3 3 3" xfId="13845" xr:uid="{F112F2F3-DC8F-4096-B000-C6CE9A4968D8}"/>
    <cellStyle name="20% - Accent3 2 3 3 4" xfId="18068" xr:uid="{F3115869-DDA6-4FA0-8C1D-90447824507D}"/>
    <cellStyle name="20% - Accent3 2 3 3 5" xfId="9594" xr:uid="{6FAAC1AB-AD8B-438D-BE9B-259BDB1CB63D}"/>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4844" xr:uid="{0A5CE7AD-DA5C-4D62-8E61-9C729DE2B8F6}"/>
    <cellStyle name="20% - Accent3 2 3 4 2 2 3" xfId="16403" xr:uid="{F07E25AA-8906-4542-895F-34751F9E7DE2}"/>
    <cellStyle name="20% - Accent3 2 3 4 2 3" xfId="20626" xr:uid="{4F4EFC7B-CA81-40E0-B5E2-6495146367F0}"/>
    <cellStyle name="20% - Accent3 2 3 4 2 4" xfId="12184" xr:uid="{813CBBE0-AC60-4857-9DCB-788C18765D61}"/>
    <cellStyle name="20% - Accent3 2 3 4 3" xfId="5764" xr:uid="{00000000-0005-0000-0000-000077010000}"/>
    <cellStyle name="20% - Accent3 2 3 4 3 2" xfId="22699" xr:uid="{9AB99145-9703-49BE-AC46-4DEC7014F05E}"/>
    <cellStyle name="20% - Accent3 2 3 4 3 3" xfId="14258" xr:uid="{BB53B4D8-557B-4522-AA99-DF291D672A9F}"/>
    <cellStyle name="20% - Accent3 2 3 4 4" xfId="18481" xr:uid="{D1E7936C-878D-4B54-8F4D-86AAB73E782C}"/>
    <cellStyle name="20% - Accent3 2 3 4 5" xfId="10007" xr:uid="{64A3AB43-CD53-4658-B808-2D3A28AB8BC5}"/>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5257" xr:uid="{13F9CCBF-B06C-403C-B970-ED1EF2F92904}"/>
    <cellStyle name="20% - Accent3 2 3 5 2 2 3" xfId="16816" xr:uid="{3329F9AA-B40F-4076-8002-9F637452F1B8}"/>
    <cellStyle name="20% - Accent3 2 3 5 2 3" xfId="21039" xr:uid="{F760BEDC-03AA-409B-A9B8-6173FC0945B4}"/>
    <cellStyle name="20% - Accent3 2 3 5 2 4" xfId="12597" xr:uid="{8D470337-C33A-4515-9CC9-E9042F767643}"/>
    <cellStyle name="20% - Accent3 2 3 5 3" xfId="6177" xr:uid="{00000000-0005-0000-0000-00007B010000}"/>
    <cellStyle name="20% - Accent3 2 3 5 3 2" xfId="23112" xr:uid="{7671A6A4-FA9D-4935-A7C2-61065C36FB77}"/>
    <cellStyle name="20% - Accent3 2 3 5 3 3" xfId="14671" xr:uid="{A83FB0C8-C185-4540-931D-33780EB030CD}"/>
    <cellStyle name="20% - Accent3 2 3 5 4" xfId="18894" xr:uid="{6DE85C26-7A1F-41C9-9D63-1C3EDA39099B}"/>
    <cellStyle name="20% - Accent3 2 3 5 5" xfId="10420" xr:uid="{8FB3450C-21F3-43AB-85A0-4465A4D71196}"/>
    <cellStyle name="20% - Accent3 2 3 6" xfId="2284" xr:uid="{00000000-0005-0000-0000-00007C010000}"/>
    <cellStyle name="20% - Accent3 2 3 6 2" xfId="6590" xr:uid="{00000000-0005-0000-0000-00007D010000}"/>
    <cellStyle name="20% - Accent3 2 3 6 2 2" xfId="23525" xr:uid="{76BAC054-734A-4062-9816-4BF122BC6661}"/>
    <cellStyle name="20% - Accent3 2 3 6 2 3" xfId="15084" xr:uid="{91873351-4751-4C7F-856B-F97A77AE90AB}"/>
    <cellStyle name="20% - Accent3 2 3 6 3" xfId="19307" xr:uid="{63481437-D6E5-4C96-92BE-6FED50340614}"/>
    <cellStyle name="20% - Accent3 2 3 6 4" xfId="10833" xr:uid="{0A468988-7BAA-458C-8549-AAE34E489B78}"/>
    <cellStyle name="20% - Accent3 2 3 7" xfId="4524" xr:uid="{00000000-0005-0000-0000-00007E010000}"/>
    <cellStyle name="20% - Accent3 2 3 7 2" xfId="21459" xr:uid="{BB5EFAAB-4B7C-47C1-9E38-C85BA1AD6583}"/>
    <cellStyle name="20% - Accent3 2 3 7 3" xfId="13018" xr:uid="{A3806E97-D795-444C-8C86-E5B975538A6D}"/>
    <cellStyle name="20% - Accent3 2 3 8" xfId="17241" xr:uid="{548277D0-68BB-4399-A9EC-69E9FE25ADEA}"/>
    <cellStyle name="20% - Accent3 2 3 9" xfId="8756" xr:uid="{CA02E621-6B9E-49A4-9F4A-5325DFB2F1F6}"/>
    <cellStyle name="20% - Accent3 2 4" xfId="587" xr:uid="{00000000-0005-0000-0000-00007F010000}"/>
    <cellStyle name="20% - Accent3 2 4 2" xfId="2858" xr:uid="{00000000-0005-0000-0000-000080010000}"/>
    <cellStyle name="20% - Accent3 2 4 2 2" xfId="7080" xr:uid="{00000000-0005-0000-0000-000081010000}"/>
    <cellStyle name="20% - Accent3 2 4 2 2 2" xfId="24015" xr:uid="{725B1FD9-DF88-4851-9D52-B40DC44B0678}"/>
    <cellStyle name="20% - Accent3 2 4 2 2 3" xfId="15574" xr:uid="{1961D320-B8BA-4B76-8847-903152284937}"/>
    <cellStyle name="20% - Accent3 2 4 2 3" xfId="19797" xr:uid="{BE52700E-343B-4047-A629-38836D13034D}"/>
    <cellStyle name="20% - Accent3 2 4 2 4" xfId="11355" xr:uid="{0D98E72C-8D31-4106-963E-6017DEE262D2}"/>
    <cellStyle name="20% - Accent3 2 4 3" xfId="4935" xr:uid="{00000000-0005-0000-0000-000082010000}"/>
    <cellStyle name="20% - Accent3 2 4 3 2" xfId="21870" xr:uid="{D8A4430C-C8E9-4CFA-9113-EDBC92C5ACC1}"/>
    <cellStyle name="20% - Accent3 2 4 3 3" xfId="13429" xr:uid="{E135480E-6DBA-407A-B47D-CC14E76135C2}"/>
    <cellStyle name="20% - Accent3 2 4 4" xfId="17652" xr:uid="{727CA204-F2B0-4229-BD99-8AF42D5447C8}"/>
    <cellStyle name="20% - Accent3 2 4 5" xfId="9177" xr:uid="{CE09C097-D8DE-414E-AA42-D0D035FB359C}"/>
    <cellStyle name="20% - Accent3 2 5" xfId="1040" xr:uid="{00000000-0005-0000-0000-000083010000}"/>
    <cellStyle name="20% - Accent3 2 5 2" xfId="3271" xr:uid="{00000000-0005-0000-0000-000084010000}"/>
    <cellStyle name="20% - Accent3 2 5 2 2" xfId="7493" xr:uid="{00000000-0005-0000-0000-000085010000}"/>
    <cellStyle name="20% - Accent3 2 5 2 2 2" xfId="24428" xr:uid="{B50F9961-7C7E-4788-AC23-1BDB1D348437}"/>
    <cellStyle name="20% - Accent3 2 5 2 2 3" xfId="15987" xr:uid="{CD2CB0C9-4BBD-416C-818D-6EBA2EBA0898}"/>
    <cellStyle name="20% - Accent3 2 5 2 3" xfId="20210" xr:uid="{7B0E97E8-DC1F-4DC2-AD8A-03967EF8F855}"/>
    <cellStyle name="20% - Accent3 2 5 2 4" xfId="11768" xr:uid="{6F5A0100-415A-4957-99B2-5736705FEC35}"/>
    <cellStyle name="20% - Accent3 2 5 3" xfId="5348" xr:uid="{00000000-0005-0000-0000-000086010000}"/>
    <cellStyle name="20% - Accent3 2 5 3 2" xfId="22283" xr:uid="{2E0EADB1-1184-45BA-A59F-75C208E2448B}"/>
    <cellStyle name="20% - Accent3 2 5 3 3" xfId="13842" xr:uid="{A202298C-58F5-4C79-BF5B-D452DB08C355}"/>
    <cellStyle name="20% - Accent3 2 5 4" xfId="18065" xr:uid="{EA36D613-8C8D-4008-84E6-1B6D0F4B8412}"/>
    <cellStyle name="20% - Accent3 2 5 5" xfId="9591" xr:uid="{5E56514A-5665-40D1-AC46-B5A248FB78FC}"/>
    <cellStyle name="20% - Accent3 2 6" xfId="1454" xr:uid="{00000000-0005-0000-0000-000087010000}"/>
    <cellStyle name="20% - Accent3 2 6 2" xfId="3684" xr:uid="{00000000-0005-0000-0000-000088010000}"/>
    <cellStyle name="20% - Accent3 2 6 2 2" xfId="7906" xr:uid="{00000000-0005-0000-0000-000089010000}"/>
    <cellStyle name="20% - Accent3 2 6 2 2 2" xfId="24841" xr:uid="{ECD3707D-14DF-4278-A5F1-6210C3D27DC8}"/>
    <cellStyle name="20% - Accent3 2 6 2 2 3" xfId="16400" xr:uid="{AB17437F-9261-44C3-89F9-31C745EBE6CC}"/>
    <cellStyle name="20% - Accent3 2 6 2 3" xfId="20623" xr:uid="{52A9FCFA-EE23-43C8-B816-58766A255C27}"/>
    <cellStyle name="20% - Accent3 2 6 2 4" xfId="12181" xr:uid="{6443B206-5558-4DB2-BBD3-C778843AA2EC}"/>
    <cellStyle name="20% - Accent3 2 6 3" xfId="5761" xr:uid="{00000000-0005-0000-0000-00008A010000}"/>
    <cellStyle name="20% - Accent3 2 6 3 2" xfId="22696" xr:uid="{2A0D6800-6E28-4CF9-A85C-DE646DEA2B23}"/>
    <cellStyle name="20% - Accent3 2 6 3 3" xfId="14255" xr:uid="{5CC049AC-BFAF-4C5E-ADF2-3E63A660EA65}"/>
    <cellStyle name="20% - Accent3 2 6 4" xfId="18478" xr:uid="{637F03F7-C8C3-4CF0-B151-8836F5352144}"/>
    <cellStyle name="20% - Accent3 2 6 5" xfId="10004" xr:uid="{2E262483-50F6-490B-A777-57E75CB90902}"/>
    <cellStyle name="20% - Accent3 2 7" xfId="1868" xr:uid="{00000000-0005-0000-0000-00008B010000}"/>
    <cellStyle name="20% - Accent3 2 7 2" xfId="4097" xr:uid="{00000000-0005-0000-0000-00008C010000}"/>
    <cellStyle name="20% - Accent3 2 7 2 2" xfId="8319" xr:uid="{00000000-0005-0000-0000-00008D010000}"/>
    <cellStyle name="20% - Accent3 2 7 2 2 2" xfId="25254" xr:uid="{85F2178F-10F8-41C5-87AB-D737AF50F853}"/>
    <cellStyle name="20% - Accent3 2 7 2 2 3" xfId="16813" xr:uid="{C8AD2FEC-61ED-4219-8C5C-3F5BD947D71B}"/>
    <cellStyle name="20% - Accent3 2 7 2 3" xfId="21036" xr:uid="{E513CAAA-D450-4BCB-AEBD-0F53890C8ED1}"/>
    <cellStyle name="20% - Accent3 2 7 2 4" xfId="12594" xr:uid="{D2DE8FD7-A0A8-4F12-87B8-8D08A3F9A399}"/>
    <cellStyle name="20% - Accent3 2 7 3" xfId="6174" xr:uid="{00000000-0005-0000-0000-00008E010000}"/>
    <cellStyle name="20% - Accent3 2 7 3 2" xfId="23109" xr:uid="{9560A09C-C5BA-406D-B636-6769D6247170}"/>
    <cellStyle name="20% - Accent3 2 7 3 3" xfId="14668" xr:uid="{50295A8F-4E6A-400A-BF22-83EE110DF129}"/>
    <cellStyle name="20% - Accent3 2 7 4" xfId="18891" xr:uid="{C90114DE-7C5B-4CDF-9C5B-E264458202D0}"/>
    <cellStyle name="20% - Accent3 2 7 5" xfId="10417" xr:uid="{74D7F5C4-ACBD-4D4B-AA36-2B0FCE84F1B9}"/>
    <cellStyle name="20% - Accent3 2 8" xfId="2281" xr:uid="{00000000-0005-0000-0000-00008F010000}"/>
    <cellStyle name="20% - Accent3 2 8 2" xfId="6587" xr:uid="{00000000-0005-0000-0000-000090010000}"/>
    <cellStyle name="20% - Accent3 2 8 2 2" xfId="23522" xr:uid="{51F487A4-8CA1-4A06-AC2F-994C821E96CC}"/>
    <cellStyle name="20% - Accent3 2 8 2 3" xfId="15081" xr:uid="{361A97C1-BDFE-4516-9294-C649DA1BD531}"/>
    <cellStyle name="20% - Accent3 2 8 3" xfId="19304" xr:uid="{DC5F1C3D-D1CF-4393-BCE7-3BA66D9BDCBB}"/>
    <cellStyle name="20% - Accent3 2 8 4" xfId="10830" xr:uid="{F0517D34-DAA7-4FE8-8DE5-438FE758CB12}"/>
    <cellStyle name="20% - Accent3 2 9" xfId="4521" xr:uid="{00000000-0005-0000-0000-000091010000}"/>
    <cellStyle name="20% - Accent3 2 9 2" xfId="21456" xr:uid="{41E9466B-ADCB-4E7B-AEB1-4AB75F761AA9}"/>
    <cellStyle name="20% - Accent3 2 9 3" xfId="13015" xr:uid="{F9502CC9-3D08-4F3F-87E8-4D02A2F0DCF5}"/>
    <cellStyle name="20% - Accent3 3" xfId="22" xr:uid="{00000000-0005-0000-0000-000092010000}"/>
    <cellStyle name="20% - Accent3 3 10" xfId="8757" xr:uid="{B50886CF-4435-4BA9-8DB6-B98B3358B7C5}"/>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4020" xr:uid="{FDEADA03-6419-4026-8FFB-E0A4E75B695C}"/>
    <cellStyle name="20% - Accent3 3 2 2 2 2 3" xfId="15579" xr:uid="{BA010688-7D56-4825-A8C8-00391CC64CFC}"/>
    <cellStyle name="20% - Accent3 3 2 2 2 3" xfId="19802" xr:uid="{551682A9-268A-4D33-BBC0-5647C1A405EC}"/>
    <cellStyle name="20% - Accent3 3 2 2 2 4" xfId="11360" xr:uid="{5A395343-8B40-4B33-B854-AA0A6BAA4E88}"/>
    <cellStyle name="20% - Accent3 3 2 2 3" xfId="4940" xr:uid="{00000000-0005-0000-0000-000097010000}"/>
    <cellStyle name="20% - Accent3 3 2 2 3 2" xfId="21875" xr:uid="{6C737D16-EAD7-4AEE-9D90-B6D24BE7857C}"/>
    <cellStyle name="20% - Accent3 3 2 2 3 3" xfId="13434" xr:uid="{F6B2D11F-4337-4109-8DB5-A2E712CA9039}"/>
    <cellStyle name="20% - Accent3 3 2 2 4" xfId="17657" xr:uid="{3FF68E62-2CD1-4CC3-ABEF-5257B91654C2}"/>
    <cellStyle name="20% - Accent3 3 2 2 5" xfId="9182" xr:uid="{913DD636-FA0B-4B4C-B5C3-085A78CE15E5}"/>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4433" xr:uid="{73E2A4D0-6299-4A6A-816B-E0A3D0675652}"/>
    <cellStyle name="20% - Accent3 3 2 3 2 2 3" xfId="15992" xr:uid="{3AF63734-69C0-4F08-9F4B-FF7507A12C47}"/>
    <cellStyle name="20% - Accent3 3 2 3 2 3" xfId="20215" xr:uid="{293F7505-E529-4B41-BA88-83DCE53F8E20}"/>
    <cellStyle name="20% - Accent3 3 2 3 2 4" xfId="11773" xr:uid="{CD232263-6BAF-42F7-AC86-81223EF98E3F}"/>
    <cellStyle name="20% - Accent3 3 2 3 3" xfId="5353" xr:uid="{00000000-0005-0000-0000-00009B010000}"/>
    <cellStyle name="20% - Accent3 3 2 3 3 2" xfId="22288" xr:uid="{A37836AE-4954-4F84-9D38-830DDC3D09B3}"/>
    <cellStyle name="20% - Accent3 3 2 3 3 3" xfId="13847" xr:uid="{29C90D00-E835-4EFC-8F52-A9CC8833AE1D}"/>
    <cellStyle name="20% - Accent3 3 2 3 4" xfId="18070" xr:uid="{0D659B65-F99D-4A8C-A56E-CF366614B41F}"/>
    <cellStyle name="20% - Accent3 3 2 3 5" xfId="9596" xr:uid="{F476B6A0-4F30-4333-8DC3-725984320E57}"/>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4846" xr:uid="{7DCC9D8A-2D26-477C-99E7-F1263D8466B4}"/>
    <cellStyle name="20% - Accent3 3 2 4 2 2 3" xfId="16405" xr:uid="{173C2F25-73F2-47B8-93D1-C8553334F1C9}"/>
    <cellStyle name="20% - Accent3 3 2 4 2 3" xfId="20628" xr:uid="{012CDC45-8606-482E-A2FC-6C9DBFF33970}"/>
    <cellStyle name="20% - Accent3 3 2 4 2 4" xfId="12186" xr:uid="{CAB308C1-67E0-4139-855C-FB332CA1573B}"/>
    <cellStyle name="20% - Accent3 3 2 4 3" xfId="5766" xr:uid="{00000000-0005-0000-0000-00009F010000}"/>
    <cellStyle name="20% - Accent3 3 2 4 3 2" xfId="22701" xr:uid="{CE5959E8-89FD-4C50-8188-45BE03BDB9F7}"/>
    <cellStyle name="20% - Accent3 3 2 4 3 3" xfId="14260" xr:uid="{C3032918-3B14-4552-A63A-806B90E5C375}"/>
    <cellStyle name="20% - Accent3 3 2 4 4" xfId="18483" xr:uid="{B83272A6-771C-46F5-A7F5-239F599DA0CC}"/>
    <cellStyle name="20% - Accent3 3 2 4 5" xfId="10009" xr:uid="{B308EC52-CFA1-4D1E-99C6-53E46792ECC3}"/>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5259" xr:uid="{9A3A36D4-2D69-452B-A047-167B5A91A08C}"/>
    <cellStyle name="20% - Accent3 3 2 5 2 2 3" xfId="16818" xr:uid="{519F937F-6163-46C4-97A0-DD56D8213413}"/>
    <cellStyle name="20% - Accent3 3 2 5 2 3" xfId="21041" xr:uid="{A34A60F1-3DF6-4D20-AF1E-7AEC359B11AD}"/>
    <cellStyle name="20% - Accent3 3 2 5 2 4" xfId="12599" xr:uid="{8E26BC12-45F7-4313-B26B-CD5C7A18156D}"/>
    <cellStyle name="20% - Accent3 3 2 5 3" xfId="6179" xr:uid="{00000000-0005-0000-0000-0000A3010000}"/>
    <cellStyle name="20% - Accent3 3 2 5 3 2" xfId="23114" xr:uid="{F56035AC-BD6A-4315-BF14-7A8D4954D193}"/>
    <cellStyle name="20% - Accent3 3 2 5 3 3" xfId="14673" xr:uid="{BD72939A-D881-473B-A4BF-D755FE9800EC}"/>
    <cellStyle name="20% - Accent3 3 2 5 4" xfId="18896" xr:uid="{A59F637C-C9B3-4A7F-9242-52847A724484}"/>
    <cellStyle name="20% - Accent3 3 2 5 5" xfId="10422" xr:uid="{C47B3266-3E11-45E2-9A0D-E42BE396C27F}"/>
    <cellStyle name="20% - Accent3 3 2 6" xfId="2286" xr:uid="{00000000-0005-0000-0000-0000A4010000}"/>
    <cellStyle name="20% - Accent3 3 2 6 2" xfId="6592" xr:uid="{00000000-0005-0000-0000-0000A5010000}"/>
    <cellStyle name="20% - Accent3 3 2 6 2 2" xfId="23527" xr:uid="{D8F39787-E840-4052-92F8-EBBD723319E3}"/>
    <cellStyle name="20% - Accent3 3 2 6 2 3" xfId="15086" xr:uid="{5EFA6878-5ECB-4362-A7F2-A66A129FBC1B}"/>
    <cellStyle name="20% - Accent3 3 2 6 3" xfId="19309" xr:uid="{693B7BB8-8A44-4C87-890C-6DB742E66266}"/>
    <cellStyle name="20% - Accent3 3 2 6 4" xfId="10835" xr:uid="{439C21DA-6C7B-4A32-87C7-079AB3FE7B6C}"/>
    <cellStyle name="20% - Accent3 3 2 7" xfId="4526" xr:uid="{00000000-0005-0000-0000-0000A6010000}"/>
    <cellStyle name="20% - Accent3 3 2 7 2" xfId="21461" xr:uid="{828022FB-2318-4985-99E7-73FBE345CB6B}"/>
    <cellStyle name="20% - Accent3 3 2 7 3" xfId="13020" xr:uid="{D13B9D89-7251-4DE4-8726-F918844E06BE}"/>
    <cellStyle name="20% - Accent3 3 2 8" xfId="17243" xr:uid="{2799811D-1375-4DFC-9CC8-866E7D937192}"/>
    <cellStyle name="20% - Accent3 3 2 9" xfId="8758" xr:uid="{D240FEEF-F0E9-4047-9D6E-3D430EB38E84}"/>
    <cellStyle name="20% - Accent3 3 3" xfId="591" xr:uid="{00000000-0005-0000-0000-0000A7010000}"/>
    <cellStyle name="20% - Accent3 3 3 2" xfId="2862" xr:uid="{00000000-0005-0000-0000-0000A8010000}"/>
    <cellStyle name="20% - Accent3 3 3 2 2" xfId="7084" xr:uid="{00000000-0005-0000-0000-0000A9010000}"/>
    <cellStyle name="20% - Accent3 3 3 2 2 2" xfId="24019" xr:uid="{81E9B5AA-86AB-4C62-8BC0-FF05064EEBF9}"/>
    <cellStyle name="20% - Accent3 3 3 2 2 3" xfId="15578" xr:uid="{36C60AE7-0246-4024-BF7E-694E52EABFE3}"/>
    <cellStyle name="20% - Accent3 3 3 2 3" xfId="19801" xr:uid="{BAFFEB5C-3035-4B87-9AD0-3326349E1F4D}"/>
    <cellStyle name="20% - Accent3 3 3 2 4" xfId="11359" xr:uid="{1A53A8A2-524C-4240-A8C9-26F5F767B1BD}"/>
    <cellStyle name="20% - Accent3 3 3 3" xfId="4939" xr:uid="{00000000-0005-0000-0000-0000AA010000}"/>
    <cellStyle name="20% - Accent3 3 3 3 2" xfId="21874" xr:uid="{BCC7B8E6-B920-4AC6-9E56-D78C639C7102}"/>
    <cellStyle name="20% - Accent3 3 3 3 3" xfId="13433" xr:uid="{C098DF0D-3DDB-4262-8E77-AA625B7CC141}"/>
    <cellStyle name="20% - Accent3 3 3 4" xfId="17656" xr:uid="{0CAF5B27-09F0-429C-8806-D6FA2E606BEE}"/>
    <cellStyle name="20% - Accent3 3 3 5" xfId="9181" xr:uid="{1473B841-5C54-4FEB-AA57-4BA9B3A5F89F}"/>
    <cellStyle name="20% - Accent3 3 4" xfId="1044" xr:uid="{00000000-0005-0000-0000-0000AB010000}"/>
    <cellStyle name="20% - Accent3 3 4 2" xfId="3275" xr:uid="{00000000-0005-0000-0000-0000AC010000}"/>
    <cellStyle name="20% - Accent3 3 4 2 2" xfId="7497" xr:uid="{00000000-0005-0000-0000-0000AD010000}"/>
    <cellStyle name="20% - Accent3 3 4 2 2 2" xfId="24432" xr:uid="{A4023907-22F2-46F4-A9CC-E09743D5D5B4}"/>
    <cellStyle name="20% - Accent3 3 4 2 2 3" xfId="15991" xr:uid="{8C4C4264-EC7B-4047-8011-8AF55509D520}"/>
    <cellStyle name="20% - Accent3 3 4 2 3" xfId="20214" xr:uid="{BD1BBC79-4EF1-4FA0-BCC4-398DF8E68A41}"/>
    <cellStyle name="20% - Accent3 3 4 2 4" xfId="11772" xr:uid="{0C71F309-B4D6-4AA4-BEB6-AEAB06D0D6ED}"/>
    <cellStyle name="20% - Accent3 3 4 3" xfId="5352" xr:uid="{00000000-0005-0000-0000-0000AE010000}"/>
    <cellStyle name="20% - Accent3 3 4 3 2" xfId="22287" xr:uid="{DE48A323-8DE0-4AC5-AEB3-3B393A9C8FB0}"/>
    <cellStyle name="20% - Accent3 3 4 3 3" xfId="13846" xr:uid="{14881130-B9EE-40FC-8AD0-AED52E5D1FB7}"/>
    <cellStyle name="20% - Accent3 3 4 4" xfId="18069" xr:uid="{1D6120F4-DC48-4ACE-ACD9-1FF3F5D16556}"/>
    <cellStyle name="20% - Accent3 3 4 5" xfId="9595" xr:uid="{D863F5B3-D9E5-4406-B62C-056E265FD540}"/>
    <cellStyle name="20% - Accent3 3 5" xfId="1458" xr:uid="{00000000-0005-0000-0000-0000AF010000}"/>
    <cellStyle name="20% - Accent3 3 5 2" xfId="3688" xr:uid="{00000000-0005-0000-0000-0000B0010000}"/>
    <cellStyle name="20% - Accent3 3 5 2 2" xfId="7910" xr:uid="{00000000-0005-0000-0000-0000B1010000}"/>
    <cellStyle name="20% - Accent3 3 5 2 2 2" xfId="24845" xr:uid="{B8BFE0BB-C923-4EBC-8CD0-ED8420107AA1}"/>
    <cellStyle name="20% - Accent3 3 5 2 2 3" xfId="16404" xr:uid="{FA777831-3F1A-4AC6-ADB3-6E87396DE7D3}"/>
    <cellStyle name="20% - Accent3 3 5 2 3" xfId="20627" xr:uid="{06B28615-4AB7-46F2-B8CC-B395BB17D664}"/>
    <cellStyle name="20% - Accent3 3 5 2 4" xfId="12185" xr:uid="{D7E8BF45-6825-4137-8B03-D3B133818EC8}"/>
    <cellStyle name="20% - Accent3 3 5 3" xfId="5765" xr:uid="{00000000-0005-0000-0000-0000B2010000}"/>
    <cellStyle name="20% - Accent3 3 5 3 2" xfId="22700" xr:uid="{03BF5A58-5802-4F81-BA59-39CFF3C608A2}"/>
    <cellStyle name="20% - Accent3 3 5 3 3" xfId="14259" xr:uid="{495612C2-C55D-409E-A4D5-C7CBD5FB4751}"/>
    <cellStyle name="20% - Accent3 3 5 4" xfId="18482" xr:uid="{8ADCF0BA-F30D-45ED-8861-205BA6E5A423}"/>
    <cellStyle name="20% - Accent3 3 5 5" xfId="10008" xr:uid="{AC0A9824-CC4D-446D-8E5C-388D5F508D9D}"/>
    <cellStyle name="20% - Accent3 3 6" xfId="1872" xr:uid="{00000000-0005-0000-0000-0000B3010000}"/>
    <cellStyle name="20% - Accent3 3 6 2" xfId="4101" xr:uid="{00000000-0005-0000-0000-0000B4010000}"/>
    <cellStyle name="20% - Accent3 3 6 2 2" xfId="8323" xr:uid="{00000000-0005-0000-0000-0000B5010000}"/>
    <cellStyle name="20% - Accent3 3 6 2 2 2" xfId="25258" xr:uid="{D27A61C9-98EE-48BC-9E77-AC54CFD1FC18}"/>
    <cellStyle name="20% - Accent3 3 6 2 2 3" xfId="16817" xr:uid="{98814871-EF57-402D-B4A5-9537CA3D7B9B}"/>
    <cellStyle name="20% - Accent3 3 6 2 3" xfId="21040" xr:uid="{BB7EF010-5134-4801-9BDB-52D224BEEE5A}"/>
    <cellStyle name="20% - Accent3 3 6 2 4" xfId="12598" xr:uid="{B8FA26E6-AF57-4E65-B511-6CA628CC9915}"/>
    <cellStyle name="20% - Accent3 3 6 3" xfId="6178" xr:uid="{00000000-0005-0000-0000-0000B6010000}"/>
    <cellStyle name="20% - Accent3 3 6 3 2" xfId="23113" xr:uid="{344E59BC-6682-403B-87BA-ED411CEA517E}"/>
    <cellStyle name="20% - Accent3 3 6 3 3" xfId="14672" xr:uid="{A994703A-F456-48A6-B81E-86353844F403}"/>
    <cellStyle name="20% - Accent3 3 6 4" xfId="18895" xr:uid="{4B39A139-2B4C-4E69-88DE-22F91E609DD0}"/>
    <cellStyle name="20% - Accent3 3 6 5" xfId="10421" xr:uid="{FC63C239-37D8-4E21-A664-B4379ED8AF8D}"/>
    <cellStyle name="20% - Accent3 3 7" xfId="2285" xr:uid="{00000000-0005-0000-0000-0000B7010000}"/>
    <cellStyle name="20% - Accent3 3 7 2" xfId="6591" xr:uid="{00000000-0005-0000-0000-0000B8010000}"/>
    <cellStyle name="20% - Accent3 3 7 2 2" xfId="23526" xr:uid="{F144D338-A640-420E-9162-7348DF24AA39}"/>
    <cellStyle name="20% - Accent3 3 7 2 3" xfId="15085" xr:uid="{3B9C6788-E5B3-4ADB-940B-B3E212F5B4B3}"/>
    <cellStyle name="20% - Accent3 3 7 3" xfId="19308" xr:uid="{C3ACA56C-9D59-41D4-9F65-FEE54C418E82}"/>
    <cellStyle name="20% - Accent3 3 7 4" xfId="10834" xr:uid="{E01E65D0-9C29-46E4-B23B-54FC60ACF877}"/>
    <cellStyle name="20% - Accent3 3 8" xfId="4525" xr:uid="{00000000-0005-0000-0000-0000B9010000}"/>
    <cellStyle name="20% - Accent3 3 8 2" xfId="21460" xr:uid="{778917EF-C42E-4C1D-8AAA-7EDED0FDC5A8}"/>
    <cellStyle name="20% - Accent3 3 8 3" xfId="13019" xr:uid="{61558561-9AD5-4880-B74F-91258D7B8810}"/>
    <cellStyle name="20% - Accent3 3 9" xfId="17242" xr:uid="{C22687F8-A710-4929-BF00-0FDD388886B9}"/>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24021" xr:uid="{F16E2E94-E038-4AF8-A846-07EE75401A00}"/>
    <cellStyle name="20% - Accent3 4 2 2 2 3" xfId="15580" xr:uid="{53C3DDB6-74DF-434D-A2F2-86FB1FAE2BB5}"/>
    <cellStyle name="20% - Accent3 4 2 2 3" xfId="19803" xr:uid="{2E7668A5-A649-4128-AD75-2DAAAF8CA009}"/>
    <cellStyle name="20% - Accent3 4 2 2 4" xfId="11361" xr:uid="{3EC2D0C6-A760-4ACF-A3E2-67082B67B680}"/>
    <cellStyle name="20% - Accent3 4 2 3" xfId="4941" xr:uid="{00000000-0005-0000-0000-0000BE010000}"/>
    <cellStyle name="20% - Accent3 4 2 3 2" xfId="21876" xr:uid="{EDC44DFA-2E20-4911-B2ED-C7AF8ACA85F8}"/>
    <cellStyle name="20% - Accent3 4 2 3 3" xfId="13435" xr:uid="{D55B05E4-54F6-48AB-BA58-6913246875BA}"/>
    <cellStyle name="20% - Accent3 4 2 4" xfId="17658" xr:uid="{F9BE75ED-D158-4DF4-81BA-AE1681CEEF22}"/>
    <cellStyle name="20% - Accent3 4 2 5" xfId="9183" xr:uid="{8E3DC45B-32CC-4E1D-8619-D4619255694A}"/>
    <cellStyle name="20% - Accent3 4 3" xfId="1046" xr:uid="{00000000-0005-0000-0000-0000BF010000}"/>
    <cellStyle name="20% - Accent3 4 3 2" xfId="3277" xr:uid="{00000000-0005-0000-0000-0000C0010000}"/>
    <cellStyle name="20% - Accent3 4 3 2 2" xfId="7499" xr:uid="{00000000-0005-0000-0000-0000C1010000}"/>
    <cellStyle name="20% - Accent3 4 3 2 2 2" xfId="24434" xr:uid="{75F6D7F8-7DDA-40D2-AEEF-8D4C7D4F35D5}"/>
    <cellStyle name="20% - Accent3 4 3 2 2 3" xfId="15993" xr:uid="{B08BE754-3003-4736-9D4B-87B2508A43AC}"/>
    <cellStyle name="20% - Accent3 4 3 2 3" xfId="20216" xr:uid="{49374D19-7086-45A9-AB7E-FEA3A67FF27A}"/>
    <cellStyle name="20% - Accent3 4 3 2 4" xfId="11774" xr:uid="{C0A220BD-671B-43C2-8A67-0863C83AC1D7}"/>
    <cellStyle name="20% - Accent3 4 3 3" xfId="5354" xr:uid="{00000000-0005-0000-0000-0000C2010000}"/>
    <cellStyle name="20% - Accent3 4 3 3 2" xfId="22289" xr:uid="{6FEE3AD7-258D-4C98-9D1C-F332F44054BD}"/>
    <cellStyle name="20% - Accent3 4 3 3 3" xfId="13848" xr:uid="{DAC0E6E8-946D-4FF3-8B95-617DF66A3115}"/>
    <cellStyle name="20% - Accent3 4 3 4" xfId="18071" xr:uid="{440A863D-C91E-4337-A1D2-A09A5747A137}"/>
    <cellStyle name="20% - Accent3 4 3 5" xfId="9597" xr:uid="{EC996C8C-B713-4008-8855-9576E82D6F48}"/>
    <cellStyle name="20% - Accent3 4 4" xfId="1460" xr:uid="{00000000-0005-0000-0000-0000C3010000}"/>
    <cellStyle name="20% - Accent3 4 4 2" xfId="3690" xr:uid="{00000000-0005-0000-0000-0000C4010000}"/>
    <cellStyle name="20% - Accent3 4 4 2 2" xfId="7912" xr:uid="{00000000-0005-0000-0000-0000C5010000}"/>
    <cellStyle name="20% - Accent3 4 4 2 2 2" xfId="24847" xr:uid="{6EBDC7E8-A8A4-4E2B-959B-B1A6F4E216C0}"/>
    <cellStyle name="20% - Accent3 4 4 2 2 3" xfId="16406" xr:uid="{EAC04FF2-2A47-48BB-8104-14EF4B26D3B5}"/>
    <cellStyle name="20% - Accent3 4 4 2 3" xfId="20629" xr:uid="{BBF7913A-46A1-4EFF-8E9B-A61D9A90BA6B}"/>
    <cellStyle name="20% - Accent3 4 4 2 4" xfId="12187" xr:uid="{2A265C80-3751-4469-991E-159C4CC765DC}"/>
    <cellStyle name="20% - Accent3 4 4 3" xfId="5767" xr:uid="{00000000-0005-0000-0000-0000C6010000}"/>
    <cellStyle name="20% - Accent3 4 4 3 2" xfId="22702" xr:uid="{25BE85CE-DFB7-42B9-8E76-F4841DB1237C}"/>
    <cellStyle name="20% - Accent3 4 4 3 3" xfId="14261" xr:uid="{CFA65577-461F-4966-9B35-94239F000680}"/>
    <cellStyle name="20% - Accent3 4 4 4" xfId="18484" xr:uid="{E7821EC1-E1C8-46F6-B9FC-AD0632A01A82}"/>
    <cellStyle name="20% - Accent3 4 4 5" xfId="10010" xr:uid="{6CBADA3E-7D53-4B45-AAF0-C4AAD8F50F07}"/>
    <cellStyle name="20% - Accent3 4 5" xfId="1874" xr:uid="{00000000-0005-0000-0000-0000C7010000}"/>
    <cellStyle name="20% - Accent3 4 5 2" xfId="4103" xr:uid="{00000000-0005-0000-0000-0000C8010000}"/>
    <cellStyle name="20% - Accent3 4 5 2 2" xfId="8325" xr:uid="{00000000-0005-0000-0000-0000C9010000}"/>
    <cellStyle name="20% - Accent3 4 5 2 2 2" xfId="25260" xr:uid="{DC2F726B-E1B1-4654-8B2B-F9C51830CDF0}"/>
    <cellStyle name="20% - Accent3 4 5 2 2 3" xfId="16819" xr:uid="{4C0F3630-1D68-4E9F-BF61-00534A7C4E1C}"/>
    <cellStyle name="20% - Accent3 4 5 2 3" xfId="21042" xr:uid="{6D2A8309-421B-4DE2-8BCE-A97074CFFB57}"/>
    <cellStyle name="20% - Accent3 4 5 2 4" xfId="12600" xr:uid="{2ACB7C61-03E9-4D2B-B4ED-5D202DF032A3}"/>
    <cellStyle name="20% - Accent3 4 5 3" xfId="6180" xr:uid="{00000000-0005-0000-0000-0000CA010000}"/>
    <cellStyle name="20% - Accent3 4 5 3 2" xfId="23115" xr:uid="{4BA5180C-A79E-4E89-A46F-B0C90E5D1B28}"/>
    <cellStyle name="20% - Accent3 4 5 3 3" xfId="14674" xr:uid="{F32FE1A2-C3FF-46D6-A3FD-42BA6DCB2741}"/>
    <cellStyle name="20% - Accent3 4 5 4" xfId="18897" xr:uid="{E1E3E0A1-D6E6-4D9D-ADEC-E483A3D98B96}"/>
    <cellStyle name="20% - Accent3 4 5 5" xfId="10423" xr:uid="{F3449CDA-2E1C-40DF-ACF0-CA9CA9FE83D0}"/>
    <cellStyle name="20% - Accent3 4 6" xfId="2287" xr:uid="{00000000-0005-0000-0000-0000CB010000}"/>
    <cellStyle name="20% - Accent3 4 6 2" xfId="6593" xr:uid="{00000000-0005-0000-0000-0000CC010000}"/>
    <cellStyle name="20% - Accent3 4 6 2 2" xfId="23528" xr:uid="{4B151491-7507-4D51-B4A3-677F950B0BA4}"/>
    <cellStyle name="20% - Accent3 4 6 2 3" xfId="15087" xr:uid="{20C51CA9-5093-498D-904C-A8EEA3577CEE}"/>
    <cellStyle name="20% - Accent3 4 6 3" xfId="19310" xr:uid="{54721737-DB70-40C3-9DF4-637D9552AC30}"/>
    <cellStyle name="20% - Accent3 4 6 4" xfId="10836" xr:uid="{D08262F0-5264-45FC-98AA-41307D256B76}"/>
    <cellStyle name="20% - Accent3 4 7" xfId="4527" xr:uid="{00000000-0005-0000-0000-0000CD010000}"/>
    <cellStyle name="20% - Accent3 4 7 2" xfId="21462" xr:uid="{F8AD70EF-DFE0-4F92-A85D-48F4B61FF6FD}"/>
    <cellStyle name="20% - Accent3 4 7 3" xfId="13021" xr:uid="{17C0C97B-9E66-4B41-AA57-A97C246CBF97}"/>
    <cellStyle name="20% - Accent3 4 8" xfId="17244" xr:uid="{140EC879-045E-4C1F-BCF9-3853A058AAED}"/>
    <cellStyle name="20% - Accent3 4 9" xfId="8759" xr:uid="{BA7FD24C-E007-48AA-9FD3-C07F96AA639F}"/>
    <cellStyle name="20% - Accent3 5" xfId="586" xr:uid="{00000000-0005-0000-0000-0000CE010000}"/>
    <cellStyle name="20% - Accent3 5 2" xfId="2857" xr:uid="{00000000-0005-0000-0000-0000CF010000}"/>
    <cellStyle name="20% - Accent3 5 2 2" xfId="7079" xr:uid="{00000000-0005-0000-0000-0000D0010000}"/>
    <cellStyle name="20% - Accent3 5 2 2 2" xfId="24014" xr:uid="{8AA1BCA1-8C90-4776-9754-D59187714176}"/>
    <cellStyle name="20% - Accent3 5 2 2 3" xfId="15573" xr:uid="{3B8EBB82-31F3-4039-8A9E-F4F4B956634B}"/>
    <cellStyle name="20% - Accent3 5 2 3" xfId="19796" xr:uid="{199A5FB3-3DBF-455D-B8BE-E61BB300D5F7}"/>
    <cellStyle name="20% - Accent3 5 2 4" xfId="11354" xr:uid="{46B5390B-7B14-45B5-AF76-87E9FAC050F6}"/>
    <cellStyle name="20% - Accent3 5 3" xfId="4934" xr:uid="{00000000-0005-0000-0000-0000D1010000}"/>
    <cellStyle name="20% - Accent3 5 3 2" xfId="21869" xr:uid="{6C2992BB-6F86-4A7B-ABD5-13A8AEC3C19B}"/>
    <cellStyle name="20% - Accent3 5 3 3" xfId="13428" xr:uid="{3C06D4C8-05BA-4245-A178-F98E781BDC45}"/>
    <cellStyle name="20% - Accent3 5 4" xfId="17651" xr:uid="{62D6020D-8A2E-4B70-8955-0D1F2345ED39}"/>
    <cellStyle name="20% - Accent3 5 5" xfId="9176" xr:uid="{3A823D0A-7E38-4FD7-A9A7-C0A754A1F84F}"/>
    <cellStyle name="20% - Accent3 6" xfId="1039" xr:uid="{00000000-0005-0000-0000-0000D2010000}"/>
    <cellStyle name="20% - Accent3 6 2" xfId="3270" xr:uid="{00000000-0005-0000-0000-0000D3010000}"/>
    <cellStyle name="20% - Accent3 6 2 2" xfId="7492" xr:uid="{00000000-0005-0000-0000-0000D4010000}"/>
    <cellStyle name="20% - Accent3 6 2 2 2" xfId="24427" xr:uid="{DF17ED37-2E8D-47B3-94BD-C2CAC73B7514}"/>
    <cellStyle name="20% - Accent3 6 2 2 3" xfId="15986" xr:uid="{7A2A9769-44DB-4162-A5EC-7E62E5B64FA0}"/>
    <cellStyle name="20% - Accent3 6 2 3" xfId="20209" xr:uid="{A43E4416-2C03-4BF5-9B29-B6880F26909F}"/>
    <cellStyle name="20% - Accent3 6 2 4" xfId="11767" xr:uid="{5637C490-9544-4AB1-A6E4-07F62B610308}"/>
    <cellStyle name="20% - Accent3 6 3" xfId="5347" xr:uid="{00000000-0005-0000-0000-0000D5010000}"/>
    <cellStyle name="20% - Accent3 6 3 2" xfId="22282" xr:uid="{EB8FAA1F-D06B-4CFC-881B-0EC492FF747E}"/>
    <cellStyle name="20% - Accent3 6 3 3" xfId="13841" xr:uid="{E3610553-9183-41FD-AFB9-70D3B2FEC4B9}"/>
    <cellStyle name="20% - Accent3 6 4" xfId="18064" xr:uid="{99D428E7-0457-44C1-B905-F18F5145E8AA}"/>
    <cellStyle name="20% - Accent3 6 5" xfId="9590" xr:uid="{EABC1EB4-DA36-4369-9292-9DA7491B735E}"/>
    <cellStyle name="20% - Accent3 7" xfId="1453" xr:uid="{00000000-0005-0000-0000-0000D6010000}"/>
    <cellStyle name="20% - Accent3 7 2" xfId="3683" xr:uid="{00000000-0005-0000-0000-0000D7010000}"/>
    <cellStyle name="20% - Accent3 7 2 2" xfId="7905" xr:uid="{00000000-0005-0000-0000-0000D8010000}"/>
    <cellStyle name="20% - Accent3 7 2 2 2" xfId="24840" xr:uid="{F9A79295-FB22-41B8-94FA-97ED6E0E1872}"/>
    <cellStyle name="20% - Accent3 7 2 2 3" xfId="16399" xr:uid="{1C7A829E-B42D-4447-A6A7-E9F7454E3995}"/>
    <cellStyle name="20% - Accent3 7 2 3" xfId="20622" xr:uid="{7573E286-B694-42AC-8111-7D34DAEBE572}"/>
    <cellStyle name="20% - Accent3 7 2 4" xfId="12180" xr:uid="{DC263312-AA5A-4899-BADE-60535149EAD2}"/>
    <cellStyle name="20% - Accent3 7 3" xfId="5760" xr:uid="{00000000-0005-0000-0000-0000D9010000}"/>
    <cellStyle name="20% - Accent3 7 3 2" xfId="22695" xr:uid="{9B1A4470-9880-4A66-A8F1-7892EF835174}"/>
    <cellStyle name="20% - Accent3 7 3 3" xfId="14254" xr:uid="{2CA6C12E-5112-4CD2-B7F9-71DFA3BF9C4D}"/>
    <cellStyle name="20% - Accent3 7 4" xfId="18477" xr:uid="{71286216-3BB0-4976-A39D-43629C6684F7}"/>
    <cellStyle name="20% - Accent3 7 5" xfId="10003" xr:uid="{404B3707-75BB-4F5A-B13E-88B3EAA709F5}"/>
    <cellStyle name="20% - Accent3 8" xfId="1867" xr:uid="{00000000-0005-0000-0000-0000DA010000}"/>
    <cellStyle name="20% - Accent3 8 2" xfId="4096" xr:uid="{00000000-0005-0000-0000-0000DB010000}"/>
    <cellStyle name="20% - Accent3 8 2 2" xfId="8318" xr:uid="{00000000-0005-0000-0000-0000DC010000}"/>
    <cellStyle name="20% - Accent3 8 2 2 2" xfId="25253" xr:uid="{D9AF70BA-ED15-4B10-8AD2-2C5C359810C9}"/>
    <cellStyle name="20% - Accent3 8 2 2 3" xfId="16812" xr:uid="{635EAC28-F73B-4EF8-9CB9-6DFAA9AA6F17}"/>
    <cellStyle name="20% - Accent3 8 2 3" xfId="21035" xr:uid="{ACB54821-A6D3-4A4B-88D2-568232FF763B}"/>
    <cellStyle name="20% - Accent3 8 2 4" xfId="12593" xr:uid="{02E8A919-DAC9-4C7E-B3E5-CADF66381BFD}"/>
    <cellStyle name="20% - Accent3 8 3" xfId="6173" xr:uid="{00000000-0005-0000-0000-0000DD010000}"/>
    <cellStyle name="20% - Accent3 8 3 2" xfId="23108" xr:uid="{CE07FEF7-2559-4D3E-B64B-F8975C558742}"/>
    <cellStyle name="20% - Accent3 8 3 3" xfId="14667" xr:uid="{7DD7C7C4-0C64-44AE-9FA7-08013BD4392E}"/>
    <cellStyle name="20% - Accent3 8 4" xfId="18890" xr:uid="{3C1D4E69-A981-4299-A83A-2E87F9BBDFC2}"/>
    <cellStyle name="20% - Accent3 8 5" xfId="10416" xr:uid="{A3E3A9B6-6990-4501-A5AF-5E0BF107C93E}"/>
    <cellStyle name="20% - Accent3 9" xfId="2280" xr:uid="{00000000-0005-0000-0000-0000DE010000}"/>
    <cellStyle name="20% - Accent3 9 2" xfId="6586" xr:uid="{00000000-0005-0000-0000-0000DF010000}"/>
    <cellStyle name="20% - Accent3 9 2 2" xfId="23521" xr:uid="{45223505-F33A-448E-AB1D-011ED2BF6263}"/>
    <cellStyle name="20% - Accent3 9 2 3" xfId="15080" xr:uid="{05B026F4-AC9E-4A95-B14D-3D124DB4BF9D}"/>
    <cellStyle name="20% - Accent3 9 3" xfId="19303" xr:uid="{C4461F72-6CD1-4AFF-B9C4-3050494BAA13}"/>
    <cellStyle name="20% - Accent3 9 4" xfId="10829" xr:uid="{7FFC90F6-0FD9-4F66-BF84-E79AC41E7B87}"/>
    <cellStyle name="20% - Accent4" xfId="25" builtinId="42" customBuiltin="1"/>
    <cellStyle name="20% - Accent4 10" xfId="4528" xr:uid="{00000000-0005-0000-0000-0000E1010000}"/>
    <cellStyle name="20% - Accent4 10 2" xfId="21463" xr:uid="{922ADA60-F342-43BD-9895-2CFE31E3AD6A}"/>
    <cellStyle name="20% - Accent4 10 3" xfId="13022" xr:uid="{B3256E10-5A2D-4D9C-8F9F-68391C8D6A80}"/>
    <cellStyle name="20% - Accent4 11" xfId="17245" xr:uid="{E2E3A2CE-8788-49F4-BFB5-EA1D348828B5}"/>
    <cellStyle name="20% - Accent4 12" xfId="8760" xr:uid="{8E4BF77B-D1B8-4E36-9E30-DB4FD27B200F}"/>
    <cellStyle name="20% - Accent4 2" xfId="26" xr:uid="{00000000-0005-0000-0000-0000E2010000}"/>
    <cellStyle name="20% - Accent4 2 10" xfId="17246" xr:uid="{F5ED7F1B-B772-4698-BD47-1D376FC9AE73}"/>
    <cellStyle name="20% - Accent4 2 11" xfId="8761" xr:uid="{ACD841A2-9C9F-4712-9C0A-D5DBDFD0F0AE}"/>
    <cellStyle name="20% - Accent4 2 2" xfId="27" xr:uid="{00000000-0005-0000-0000-0000E3010000}"/>
    <cellStyle name="20% - Accent4 2 2 10" xfId="8762" xr:uid="{F9C00176-923C-4147-A457-25D66D336056}"/>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4025" xr:uid="{8DBCA357-7F74-4AA4-91B8-3A7DC98F2D8D}"/>
    <cellStyle name="20% - Accent4 2 2 2 2 2 2 3" xfId="15584" xr:uid="{ACE811CB-1777-4991-8D10-09BE35EF1D87}"/>
    <cellStyle name="20% - Accent4 2 2 2 2 2 3" xfId="19807" xr:uid="{5551D07A-68C3-4CDE-9E87-5CE801212336}"/>
    <cellStyle name="20% - Accent4 2 2 2 2 2 4" xfId="11365" xr:uid="{B604185D-F5CB-4125-A77E-2B62878B8F3A}"/>
    <cellStyle name="20% - Accent4 2 2 2 2 3" xfId="4945" xr:uid="{00000000-0005-0000-0000-0000E8010000}"/>
    <cellStyle name="20% - Accent4 2 2 2 2 3 2" xfId="21880" xr:uid="{BD87B1DD-CD6D-4C75-97B9-90A93D8B2CB1}"/>
    <cellStyle name="20% - Accent4 2 2 2 2 3 3" xfId="13439" xr:uid="{41FA25C1-23B8-43F7-A62A-D69C8C4A1BC3}"/>
    <cellStyle name="20% - Accent4 2 2 2 2 4" xfId="17662" xr:uid="{CC734E4D-1624-4B26-B5FB-1C9CC03019A1}"/>
    <cellStyle name="20% - Accent4 2 2 2 2 5" xfId="9187" xr:uid="{B5AF7BB3-DB92-4E0F-9F01-30DD262D2822}"/>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4438" xr:uid="{427B3AA7-EEA7-4DAF-B549-D7EA530B7C69}"/>
    <cellStyle name="20% - Accent4 2 2 2 3 2 2 3" xfId="15997" xr:uid="{1D6C4D37-C69A-467A-8F01-1905E882218E}"/>
    <cellStyle name="20% - Accent4 2 2 2 3 2 3" xfId="20220" xr:uid="{704DC950-38A4-4E17-B192-11701F24EA96}"/>
    <cellStyle name="20% - Accent4 2 2 2 3 2 4" xfId="11778" xr:uid="{7CBD94D4-E112-446D-A4E8-C4A92876652D}"/>
    <cellStyle name="20% - Accent4 2 2 2 3 3" xfId="5358" xr:uid="{00000000-0005-0000-0000-0000EC010000}"/>
    <cellStyle name="20% - Accent4 2 2 2 3 3 2" xfId="22293" xr:uid="{9CA17CFB-DC77-4E7A-BE44-C24FE8B7EB4E}"/>
    <cellStyle name="20% - Accent4 2 2 2 3 3 3" xfId="13852" xr:uid="{FD44DD82-AA57-43C8-892A-B0FB1A5F29A9}"/>
    <cellStyle name="20% - Accent4 2 2 2 3 4" xfId="18075" xr:uid="{678E85A4-83A8-4B72-AD71-33479C79CCF3}"/>
    <cellStyle name="20% - Accent4 2 2 2 3 5" xfId="9601" xr:uid="{659DCCBF-9B8E-4609-BFCC-550523A9B1C1}"/>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4851" xr:uid="{96F130B2-EA23-45BA-95A7-EE091265BAD4}"/>
    <cellStyle name="20% - Accent4 2 2 2 4 2 2 3" xfId="16410" xr:uid="{957FA5FF-B5E5-4378-8B76-96FBFDBACD77}"/>
    <cellStyle name="20% - Accent4 2 2 2 4 2 3" xfId="20633" xr:uid="{7C679C27-B8B0-4E71-BBA3-3C77A166004E}"/>
    <cellStyle name="20% - Accent4 2 2 2 4 2 4" xfId="12191" xr:uid="{9A6EE76B-3346-4E89-9432-5BC6F304D6AD}"/>
    <cellStyle name="20% - Accent4 2 2 2 4 3" xfId="5771" xr:uid="{00000000-0005-0000-0000-0000F0010000}"/>
    <cellStyle name="20% - Accent4 2 2 2 4 3 2" xfId="22706" xr:uid="{48DDDD25-CE66-4571-A298-AEB7462A9512}"/>
    <cellStyle name="20% - Accent4 2 2 2 4 3 3" xfId="14265" xr:uid="{0888D3EC-B88E-43D7-A37D-F1C740E97754}"/>
    <cellStyle name="20% - Accent4 2 2 2 4 4" xfId="18488" xr:uid="{5C7B5B23-01C6-4D0B-80AD-061F23446922}"/>
    <cellStyle name="20% - Accent4 2 2 2 4 5" xfId="10014" xr:uid="{A78704D7-62F8-4329-98D8-F5AAA4236313}"/>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5264" xr:uid="{881874CF-11F5-4E3C-9DC2-637AB1A438EC}"/>
    <cellStyle name="20% - Accent4 2 2 2 5 2 2 3" xfId="16823" xr:uid="{F086E457-592D-40CE-97DE-F0FE0D33D520}"/>
    <cellStyle name="20% - Accent4 2 2 2 5 2 3" xfId="21046" xr:uid="{2A9AE630-E194-4EE2-80DF-162BE673543E}"/>
    <cellStyle name="20% - Accent4 2 2 2 5 2 4" xfId="12604" xr:uid="{35623B5A-18B1-4A83-B92C-F0D824902E9B}"/>
    <cellStyle name="20% - Accent4 2 2 2 5 3" xfId="6184" xr:uid="{00000000-0005-0000-0000-0000F4010000}"/>
    <cellStyle name="20% - Accent4 2 2 2 5 3 2" xfId="23119" xr:uid="{BF0D5765-02A4-4D06-8459-2BCD314ED064}"/>
    <cellStyle name="20% - Accent4 2 2 2 5 3 3" xfId="14678" xr:uid="{5515E04A-5768-48A1-A64A-D0F17CD6F99C}"/>
    <cellStyle name="20% - Accent4 2 2 2 5 4" xfId="18901" xr:uid="{64E82FD5-A89B-448B-A691-9CF6B3641415}"/>
    <cellStyle name="20% - Accent4 2 2 2 5 5" xfId="10427" xr:uid="{C308A561-98BE-421D-9CA5-AE2E2B2B4DE2}"/>
    <cellStyle name="20% - Accent4 2 2 2 6" xfId="2291" xr:uid="{00000000-0005-0000-0000-0000F5010000}"/>
    <cellStyle name="20% - Accent4 2 2 2 6 2" xfId="6597" xr:uid="{00000000-0005-0000-0000-0000F6010000}"/>
    <cellStyle name="20% - Accent4 2 2 2 6 2 2" xfId="23532" xr:uid="{9C048423-8115-47AD-B83D-A52868EF0F68}"/>
    <cellStyle name="20% - Accent4 2 2 2 6 2 3" xfId="15091" xr:uid="{B9970880-89BA-4E8A-A044-D9DA0E1499E6}"/>
    <cellStyle name="20% - Accent4 2 2 2 6 3" xfId="19314" xr:uid="{A46EE3D7-272D-4B6D-A5D5-78AD344A068A}"/>
    <cellStyle name="20% - Accent4 2 2 2 6 4" xfId="10840" xr:uid="{BE4BE637-A4C5-4306-9DB3-15767BEEFD1C}"/>
    <cellStyle name="20% - Accent4 2 2 2 7" xfId="4531" xr:uid="{00000000-0005-0000-0000-0000F7010000}"/>
    <cellStyle name="20% - Accent4 2 2 2 7 2" xfId="21466" xr:uid="{327E34C6-484F-4A33-B76F-BCD97A86F5CB}"/>
    <cellStyle name="20% - Accent4 2 2 2 7 3" xfId="13025" xr:uid="{A02C0E5D-CBF5-43BC-9F7E-B2B223C504EA}"/>
    <cellStyle name="20% - Accent4 2 2 2 8" xfId="17248" xr:uid="{37E945D0-6EAB-439E-99B6-D230BF3293D8}"/>
    <cellStyle name="20% - Accent4 2 2 2 9" xfId="8763" xr:uid="{ECB335CD-783B-4EB5-9C2F-204F3B16AD8C}"/>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4024" xr:uid="{935F55FF-304E-4207-8239-790145529FE8}"/>
    <cellStyle name="20% - Accent4 2 2 3 2 2 3" xfId="15583" xr:uid="{3DB0DC36-4AB5-4B99-A330-BA0AB102E1A6}"/>
    <cellStyle name="20% - Accent4 2 2 3 2 3" xfId="19806" xr:uid="{C9700809-BEAF-4E76-9DD8-0174F196BB63}"/>
    <cellStyle name="20% - Accent4 2 2 3 2 4" xfId="11364" xr:uid="{1F99DEF5-470F-4F7F-8DA0-B16FC0AA5194}"/>
    <cellStyle name="20% - Accent4 2 2 3 3" xfId="4944" xr:uid="{00000000-0005-0000-0000-0000FB010000}"/>
    <cellStyle name="20% - Accent4 2 2 3 3 2" xfId="21879" xr:uid="{7A52F9BC-874E-4566-A079-ECF52BB62EC2}"/>
    <cellStyle name="20% - Accent4 2 2 3 3 3" xfId="13438" xr:uid="{A111928C-E6D0-46E0-AB53-27038974026A}"/>
    <cellStyle name="20% - Accent4 2 2 3 4" xfId="17661" xr:uid="{B20B1BDC-4EF2-46B9-A2F2-5E92736D0BFB}"/>
    <cellStyle name="20% - Accent4 2 2 3 5" xfId="9186" xr:uid="{137448F2-2442-4346-BFBF-8C7C53FA230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4437" xr:uid="{2A799C49-4C16-42B7-9BFE-A80F8C79D3AD}"/>
    <cellStyle name="20% - Accent4 2 2 4 2 2 3" xfId="15996" xr:uid="{F0E050C1-BA43-4C7B-B0D5-1B71469A899F}"/>
    <cellStyle name="20% - Accent4 2 2 4 2 3" xfId="20219" xr:uid="{875C65B4-B41E-4A4E-B1FE-AC69BE84EB22}"/>
    <cellStyle name="20% - Accent4 2 2 4 2 4" xfId="11777" xr:uid="{A502566C-74AC-4168-A0F2-C0C1D69AF8BE}"/>
    <cellStyle name="20% - Accent4 2 2 4 3" xfId="5357" xr:uid="{00000000-0005-0000-0000-0000FF010000}"/>
    <cellStyle name="20% - Accent4 2 2 4 3 2" xfId="22292" xr:uid="{1D326C3E-7C87-4055-A318-2E8DC574BC8E}"/>
    <cellStyle name="20% - Accent4 2 2 4 3 3" xfId="13851" xr:uid="{7BF706E4-CB52-4422-A029-D96D649404BE}"/>
    <cellStyle name="20% - Accent4 2 2 4 4" xfId="18074" xr:uid="{4F46EE30-FB6B-4D0B-9FFB-76089E23DA5C}"/>
    <cellStyle name="20% - Accent4 2 2 4 5" xfId="9600" xr:uid="{D898A12A-1D57-4B72-B29D-39B75A56D8C4}"/>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4850" xr:uid="{1DCFFC55-6AC2-4D51-AD8A-0E54196FE6A6}"/>
    <cellStyle name="20% - Accent4 2 2 5 2 2 3" xfId="16409" xr:uid="{4C4580D5-F048-4A7F-85A0-7385E877100C}"/>
    <cellStyle name="20% - Accent4 2 2 5 2 3" xfId="20632" xr:uid="{FB35D1B6-858B-48D9-8FDC-E2A35DF0A6A9}"/>
    <cellStyle name="20% - Accent4 2 2 5 2 4" xfId="12190" xr:uid="{7CAA84C8-F9C3-452C-AD14-6F0672AB2206}"/>
    <cellStyle name="20% - Accent4 2 2 5 3" xfId="5770" xr:uid="{00000000-0005-0000-0000-000003020000}"/>
    <cellStyle name="20% - Accent4 2 2 5 3 2" xfId="22705" xr:uid="{EAE184C8-5D67-4552-AFB7-0F38779643EF}"/>
    <cellStyle name="20% - Accent4 2 2 5 3 3" xfId="14264" xr:uid="{1B1963F9-DDB5-450F-BFAA-5154ED023181}"/>
    <cellStyle name="20% - Accent4 2 2 5 4" xfId="18487" xr:uid="{988C1FD2-6131-4C9C-BBAF-C8E98787F3FB}"/>
    <cellStyle name="20% - Accent4 2 2 5 5" xfId="10013" xr:uid="{D429FAB4-314D-43ED-B44B-FD244E33A076}"/>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5263" xr:uid="{68B8633D-3F43-4F69-92F1-4ADE3EF4AF06}"/>
    <cellStyle name="20% - Accent4 2 2 6 2 2 3" xfId="16822" xr:uid="{E836B349-3768-4953-B797-999452B6555D}"/>
    <cellStyle name="20% - Accent4 2 2 6 2 3" xfId="21045" xr:uid="{40ADF6BD-EC7C-467C-9CB6-B517612FCA7D}"/>
    <cellStyle name="20% - Accent4 2 2 6 2 4" xfId="12603" xr:uid="{A2106EF0-3585-4384-8D08-FE62B6351F06}"/>
    <cellStyle name="20% - Accent4 2 2 6 3" xfId="6183" xr:uid="{00000000-0005-0000-0000-000007020000}"/>
    <cellStyle name="20% - Accent4 2 2 6 3 2" xfId="23118" xr:uid="{819CEDF3-16E5-43FC-A9DE-F30BE95A7C8E}"/>
    <cellStyle name="20% - Accent4 2 2 6 3 3" xfId="14677" xr:uid="{0996E27C-CC22-4643-AFF1-B741FC4E61EC}"/>
    <cellStyle name="20% - Accent4 2 2 6 4" xfId="18900" xr:uid="{435EDC83-00E5-4D0F-AB57-4394A212814D}"/>
    <cellStyle name="20% - Accent4 2 2 6 5" xfId="10426" xr:uid="{F649472E-2035-4F28-805B-F20D4521E1C3}"/>
    <cellStyle name="20% - Accent4 2 2 7" xfId="2290" xr:uid="{00000000-0005-0000-0000-000008020000}"/>
    <cellStyle name="20% - Accent4 2 2 7 2" xfId="6596" xr:uid="{00000000-0005-0000-0000-000009020000}"/>
    <cellStyle name="20% - Accent4 2 2 7 2 2" xfId="23531" xr:uid="{89C2FDAF-7A21-43FD-9C7B-23E23335CE4A}"/>
    <cellStyle name="20% - Accent4 2 2 7 2 3" xfId="15090" xr:uid="{B72F493C-05B2-442F-A69C-4B11BD02B26F}"/>
    <cellStyle name="20% - Accent4 2 2 7 3" xfId="19313" xr:uid="{B074888F-120B-44F1-AD41-2D6909842959}"/>
    <cellStyle name="20% - Accent4 2 2 7 4" xfId="10839" xr:uid="{68F12617-72E3-4005-B71C-B26E0170B8BA}"/>
    <cellStyle name="20% - Accent4 2 2 8" xfId="4530" xr:uid="{00000000-0005-0000-0000-00000A020000}"/>
    <cellStyle name="20% - Accent4 2 2 8 2" xfId="21465" xr:uid="{EF27A282-DA4E-4C5A-8D76-B22C9D6D3C67}"/>
    <cellStyle name="20% - Accent4 2 2 8 3" xfId="13024" xr:uid="{ACA4E211-7412-48C5-8BFF-4691A6200FAB}"/>
    <cellStyle name="20% - Accent4 2 2 9" xfId="17247" xr:uid="{79C88B65-1591-4847-9507-4841F7F619C1}"/>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4026" xr:uid="{24731E23-BB69-4521-AE49-66FC5176FD5D}"/>
    <cellStyle name="20% - Accent4 2 3 2 2 2 3" xfId="15585" xr:uid="{196B967C-A438-484A-9C84-1DA971F662AE}"/>
    <cellStyle name="20% - Accent4 2 3 2 2 3" xfId="19808" xr:uid="{F2F3CCA7-F5EB-47A5-BDC4-6CE3AE8CB5C6}"/>
    <cellStyle name="20% - Accent4 2 3 2 2 4" xfId="11366" xr:uid="{20489C6F-969E-4FF6-AB83-88D08B07AF1D}"/>
    <cellStyle name="20% - Accent4 2 3 2 3" xfId="4946" xr:uid="{00000000-0005-0000-0000-00000F020000}"/>
    <cellStyle name="20% - Accent4 2 3 2 3 2" xfId="21881" xr:uid="{6FFC633B-7AA7-423D-A20A-98815C7960FA}"/>
    <cellStyle name="20% - Accent4 2 3 2 3 3" xfId="13440" xr:uid="{6B69D367-C73F-4799-956B-F11827B1C0B7}"/>
    <cellStyle name="20% - Accent4 2 3 2 4" xfId="17663" xr:uid="{74427C5D-8791-4DDA-B065-49C5F52888AB}"/>
    <cellStyle name="20% - Accent4 2 3 2 5" xfId="9188" xr:uid="{01E2B873-61A0-476A-AFF0-B4C415CDADB7}"/>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4439" xr:uid="{EAA93EB4-E2E9-44AF-8932-8B9F9E2D8D2A}"/>
    <cellStyle name="20% - Accent4 2 3 3 2 2 3" xfId="15998" xr:uid="{AF5239A6-7FB2-4BB0-9C45-05AE8BD7B7E5}"/>
    <cellStyle name="20% - Accent4 2 3 3 2 3" xfId="20221" xr:uid="{423FCAF5-AA04-47BB-9280-11D14D3D8384}"/>
    <cellStyle name="20% - Accent4 2 3 3 2 4" xfId="11779" xr:uid="{DC521004-D217-43D2-A403-6B4D6BD4BA74}"/>
    <cellStyle name="20% - Accent4 2 3 3 3" xfId="5359" xr:uid="{00000000-0005-0000-0000-000013020000}"/>
    <cellStyle name="20% - Accent4 2 3 3 3 2" xfId="22294" xr:uid="{D7598F51-8110-4BF4-8C8F-A51B5E8927DC}"/>
    <cellStyle name="20% - Accent4 2 3 3 3 3" xfId="13853" xr:uid="{10F5D7E7-A8AD-4C65-BEC8-1910C54CFF85}"/>
    <cellStyle name="20% - Accent4 2 3 3 4" xfId="18076" xr:uid="{E506D916-85CA-4E68-8043-5D6C4EDB1C1A}"/>
    <cellStyle name="20% - Accent4 2 3 3 5" xfId="9602" xr:uid="{FFB0AFFB-39D7-4F52-878A-911927869281}"/>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4852" xr:uid="{1C80FA3E-625B-4E91-801B-077A01940516}"/>
    <cellStyle name="20% - Accent4 2 3 4 2 2 3" xfId="16411" xr:uid="{39703F2F-99F6-4797-865C-9CE216D6F0F0}"/>
    <cellStyle name="20% - Accent4 2 3 4 2 3" xfId="20634" xr:uid="{07E05737-A90D-466A-AA42-A8F15471E627}"/>
    <cellStyle name="20% - Accent4 2 3 4 2 4" xfId="12192" xr:uid="{6A74D2F8-A214-435D-8610-7EF4B7853515}"/>
    <cellStyle name="20% - Accent4 2 3 4 3" xfId="5772" xr:uid="{00000000-0005-0000-0000-000017020000}"/>
    <cellStyle name="20% - Accent4 2 3 4 3 2" xfId="22707" xr:uid="{4B3B9BFD-FB10-4C76-B324-F9174EF5E8D0}"/>
    <cellStyle name="20% - Accent4 2 3 4 3 3" xfId="14266" xr:uid="{94C442F6-F5F4-463E-85B8-80EB367DAAA5}"/>
    <cellStyle name="20% - Accent4 2 3 4 4" xfId="18489" xr:uid="{CBA8E392-1ECE-42AE-BB04-EDF3C41EB8F5}"/>
    <cellStyle name="20% - Accent4 2 3 4 5" xfId="10015" xr:uid="{1AAB3A21-AB7E-4903-9AEE-59C040E454D1}"/>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5265" xr:uid="{3B0276DA-AE09-4332-ADE2-A695191CDD49}"/>
    <cellStyle name="20% - Accent4 2 3 5 2 2 3" xfId="16824" xr:uid="{7DE6152D-70A5-4CF3-AE9B-88A6345064F7}"/>
    <cellStyle name="20% - Accent4 2 3 5 2 3" xfId="21047" xr:uid="{9373DDC1-174F-4275-B924-92517AB5DE5D}"/>
    <cellStyle name="20% - Accent4 2 3 5 2 4" xfId="12605" xr:uid="{D248F7A1-4BDA-4192-9E4C-7B80CB4ACBE5}"/>
    <cellStyle name="20% - Accent4 2 3 5 3" xfId="6185" xr:uid="{00000000-0005-0000-0000-00001B020000}"/>
    <cellStyle name="20% - Accent4 2 3 5 3 2" xfId="23120" xr:uid="{89DE4EBE-F0F3-41DA-89F2-5BA321CC3EB0}"/>
    <cellStyle name="20% - Accent4 2 3 5 3 3" xfId="14679" xr:uid="{3A66598D-25C1-47E8-87A7-9A400EAB5740}"/>
    <cellStyle name="20% - Accent4 2 3 5 4" xfId="18902" xr:uid="{4277C993-3FC8-4601-B8A2-5C6D80B955A8}"/>
    <cellStyle name="20% - Accent4 2 3 5 5" xfId="10428" xr:uid="{564F515B-EB26-4CC2-8009-41A59A7EFB7D}"/>
    <cellStyle name="20% - Accent4 2 3 6" xfId="2292" xr:uid="{00000000-0005-0000-0000-00001C020000}"/>
    <cellStyle name="20% - Accent4 2 3 6 2" xfId="6598" xr:uid="{00000000-0005-0000-0000-00001D020000}"/>
    <cellStyle name="20% - Accent4 2 3 6 2 2" xfId="23533" xr:uid="{3D89D102-26B9-421F-A8D4-D63242C18FF9}"/>
    <cellStyle name="20% - Accent4 2 3 6 2 3" xfId="15092" xr:uid="{50A111F6-F468-463A-954C-1F03F971F13B}"/>
    <cellStyle name="20% - Accent4 2 3 6 3" xfId="19315" xr:uid="{5CDE39CD-6DB0-424F-9A65-8C7E98C9BD28}"/>
    <cellStyle name="20% - Accent4 2 3 6 4" xfId="10841" xr:uid="{9320FCEA-910F-478E-816B-C4284F4C9DEF}"/>
    <cellStyle name="20% - Accent4 2 3 7" xfId="4532" xr:uid="{00000000-0005-0000-0000-00001E020000}"/>
    <cellStyle name="20% - Accent4 2 3 7 2" xfId="21467" xr:uid="{D2C295BE-EC02-49E9-B80E-129583E7420C}"/>
    <cellStyle name="20% - Accent4 2 3 7 3" xfId="13026" xr:uid="{776DFA07-2DEE-4355-8A1E-CF1251C1DF56}"/>
    <cellStyle name="20% - Accent4 2 3 8" xfId="17249" xr:uid="{F2F660FD-C652-4D82-A8C3-34536EF6F24C}"/>
    <cellStyle name="20% - Accent4 2 3 9" xfId="8764" xr:uid="{6D5D5478-C535-4F78-98BE-1E8AC08EB0C9}"/>
    <cellStyle name="20% - Accent4 2 4" xfId="595" xr:uid="{00000000-0005-0000-0000-00001F020000}"/>
    <cellStyle name="20% - Accent4 2 4 2" xfId="2866" xr:uid="{00000000-0005-0000-0000-000020020000}"/>
    <cellStyle name="20% - Accent4 2 4 2 2" xfId="7088" xr:uid="{00000000-0005-0000-0000-000021020000}"/>
    <cellStyle name="20% - Accent4 2 4 2 2 2" xfId="24023" xr:uid="{4D253816-2859-40EA-9479-221537189C64}"/>
    <cellStyle name="20% - Accent4 2 4 2 2 3" xfId="15582" xr:uid="{22D180DF-0FD7-4028-AA0B-423EFF82F7D1}"/>
    <cellStyle name="20% - Accent4 2 4 2 3" xfId="19805" xr:uid="{62E6B80B-8CF9-4312-9D18-98D6DF319658}"/>
    <cellStyle name="20% - Accent4 2 4 2 4" xfId="11363" xr:uid="{67B5F5FE-5B70-4FB6-B856-75676C6D5C37}"/>
    <cellStyle name="20% - Accent4 2 4 3" xfId="4943" xr:uid="{00000000-0005-0000-0000-000022020000}"/>
    <cellStyle name="20% - Accent4 2 4 3 2" xfId="21878" xr:uid="{807BF645-AFD6-41C4-820E-F7EAAD2B283B}"/>
    <cellStyle name="20% - Accent4 2 4 3 3" xfId="13437" xr:uid="{5389B5C6-9E3C-469E-BA5C-9CA094170C4E}"/>
    <cellStyle name="20% - Accent4 2 4 4" xfId="17660" xr:uid="{7315EE17-7EC4-49EE-90FD-B92794A6D9B3}"/>
    <cellStyle name="20% - Accent4 2 4 5" xfId="9185" xr:uid="{1816B1F3-FA85-4EB9-9914-59A093951D83}"/>
    <cellStyle name="20% - Accent4 2 5" xfId="1048" xr:uid="{00000000-0005-0000-0000-000023020000}"/>
    <cellStyle name="20% - Accent4 2 5 2" xfId="3279" xr:uid="{00000000-0005-0000-0000-000024020000}"/>
    <cellStyle name="20% - Accent4 2 5 2 2" xfId="7501" xr:uid="{00000000-0005-0000-0000-000025020000}"/>
    <cellStyle name="20% - Accent4 2 5 2 2 2" xfId="24436" xr:uid="{5452AB04-3B03-4EC3-B046-C04E920C742E}"/>
    <cellStyle name="20% - Accent4 2 5 2 2 3" xfId="15995" xr:uid="{4B2777E7-6AE5-4817-94C3-3A2AAF4D5E94}"/>
    <cellStyle name="20% - Accent4 2 5 2 3" xfId="20218" xr:uid="{A74EC28E-1635-401F-82F7-E7D47DA7B481}"/>
    <cellStyle name="20% - Accent4 2 5 2 4" xfId="11776" xr:uid="{72296DCD-B6CF-4D67-BA67-0D210E5356B9}"/>
    <cellStyle name="20% - Accent4 2 5 3" xfId="5356" xr:uid="{00000000-0005-0000-0000-000026020000}"/>
    <cellStyle name="20% - Accent4 2 5 3 2" xfId="22291" xr:uid="{0D50B9FA-C0F3-4C92-8B0A-95BBFCA7AEE2}"/>
    <cellStyle name="20% - Accent4 2 5 3 3" xfId="13850" xr:uid="{F2AC817D-E110-464F-B9C6-11824051095E}"/>
    <cellStyle name="20% - Accent4 2 5 4" xfId="18073" xr:uid="{479F8726-E40C-4842-B630-75ABB1D10325}"/>
    <cellStyle name="20% - Accent4 2 5 5" xfId="9599" xr:uid="{FA96B184-5A61-4699-BB59-1AFC2496C52B}"/>
    <cellStyle name="20% - Accent4 2 6" xfId="1462" xr:uid="{00000000-0005-0000-0000-000027020000}"/>
    <cellStyle name="20% - Accent4 2 6 2" xfId="3692" xr:uid="{00000000-0005-0000-0000-000028020000}"/>
    <cellStyle name="20% - Accent4 2 6 2 2" xfId="7914" xr:uid="{00000000-0005-0000-0000-000029020000}"/>
    <cellStyle name="20% - Accent4 2 6 2 2 2" xfId="24849" xr:uid="{606ED19D-64F1-4C2F-8657-D0E4461493B8}"/>
    <cellStyle name="20% - Accent4 2 6 2 2 3" xfId="16408" xr:uid="{4A391561-4A0B-4337-B866-77EA9E253B0C}"/>
    <cellStyle name="20% - Accent4 2 6 2 3" xfId="20631" xr:uid="{738084FD-6857-4531-9904-C2C6F1B987BD}"/>
    <cellStyle name="20% - Accent4 2 6 2 4" xfId="12189" xr:uid="{EA15FED7-E15A-4D29-AF51-B15D9ECB67FC}"/>
    <cellStyle name="20% - Accent4 2 6 3" xfId="5769" xr:uid="{00000000-0005-0000-0000-00002A020000}"/>
    <cellStyle name="20% - Accent4 2 6 3 2" xfId="22704" xr:uid="{41935042-C093-40D8-8E3B-1D586303E88F}"/>
    <cellStyle name="20% - Accent4 2 6 3 3" xfId="14263" xr:uid="{FCEAABB1-1075-4163-92EF-52CA35F1D3B7}"/>
    <cellStyle name="20% - Accent4 2 6 4" xfId="18486" xr:uid="{BA94F33A-89E7-47BF-A6B2-8D9C75856D1E}"/>
    <cellStyle name="20% - Accent4 2 6 5" xfId="10012" xr:uid="{C21FD202-7D64-424A-8214-6A7588712FD0}"/>
    <cellStyle name="20% - Accent4 2 7" xfId="1876" xr:uid="{00000000-0005-0000-0000-00002B020000}"/>
    <cellStyle name="20% - Accent4 2 7 2" xfId="4105" xr:uid="{00000000-0005-0000-0000-00002C020000}"/>
    <cellStyle name="20% - Accent4 2 7 2 2" xfId="8327" xr:uid="{00000000-0005-0000-0000-00002D020000}"/>
    <cellStyle name="20% - Accent4 2 7 2 2 2" xfId="25262" xr:uid="{74B0F852-00B0-4E26-B48E-310A78577455}"/>
    <cellStyle name="20% - Accent4 2 7 2 2 3" xfId="16821" xr:uid="{D153B7B2-D1CB-486B-903D-7CF714CC480F}"/>
    <cellStyle name="20% - Accent4 2 7 2 3" xfId="21044" xr:uid="{D1C5F88D-CD6D-41EB-802D-116F01ECD41C}"/>
    <cellStyle name="20% - Accent4 2 7 2 4" xfId="12602" xr:uid="{9BF1AB4A-409F-4F97-82A0-FC1A08A91920}"/>
    <cellStyle name="20% - Accent4 2 7 3" xfId="6182" xr:uid="{00000000-0005-0000-0000-00002E020000}"/>
    <cellStyle name="20% - Accent4 2 7 3 2" xfId="23117" xr:uid="{3542DFF7-C9EE-43D9-AAAA-1CBB9F546FFA}"/>
    <cellStyle name="20% - Accent4 2 7 3 3" xfId="14676" xr:uid="{898791BE-2B79-40D1-813E-8ABA7EDA241D}"/>
    <cellStyle name="20% - Accent4 2 7 4" xfId="18899" xr:uid="{CCB486E1-A629-4FFB-A506-E31502E637B3}"/>
    <cellStyle name="20% - Accent4 2 7 5" xfId="10425" xr:uid="{FA495CF8-55AC-44D6-AB72-C064D8131428}"/>
    <cellStyle name="20% - Accent4 2 8" xfId="2289" xr:uid="{00000000-0005-0000-0000-00002F020000}"/>
    <cellStyle name="20% - Accent4 2 8 2" xfId="6595" xr:uid="{00000000-0005-0000-0000-000030020000}"/>
    <cellStyle name="20% - Accent4 2 8 2 2" xfId="23530" xr:uid="{DE7CB11A-E900-4C97-AC3F-EB1A4A979163}"/>
    <cellStyle name="20% - Accent4 2 8 2 3" xfId="15089" xr:uid="{3BEBE628-4C40-4419-996C-A7EE3B6C83A6}"/>
    <cellStyle name="20% - Accent4 2 8 3" xfId="19312" xr:uid="{AB361CCB-86FE-4DCA-B4F5-9A64E02CBD25}"/>
    <cellStyle name="20% - Accent4 2 8 4" xfId="10838" xr:uid="{E3198AA2-2D83-46E4-82C4-5F8EAC52EE9F}"/>
    <cellStyle name="20% - Accent4 2 9" xfId="4529" xr:uid="{00000000-0005-0000-0000-000031020000}"/>
    <cellStyle name="20% - Accent4 2 9 2" xfId="21464" xr:uid="{5F30C625-C185-4AFD-9855-C1D29D6E6C7F}"/>
    <cellStyle name="20% - Accent4 2 9 3" xfId="13023" xr:uid="{9E953809-4A99-4929-8CE0-A1103A532C27}"/>
    <cellStyle name="20% - Accent4 3" xfId="30" xr:uid="{00000000-0005-0000-0000-000032020000}"/>
    <cellStyle name="20% - Accent4 3 10" xfId="8765" xr:uid="{5F8C80F2-B916-4212-A015-FFEACA0A857C}"/>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4028" xr:uid="{910DF44C-B6E4-4E29-BB82-8A723B82764D}"/>
    <cellStyle name="20% - Accent4 3 2 2 2 2 3" xfId="15587" xr:uid="{CA347ABC-F400-4AFA-AF1E-8ABE97A8C7F9}"/>
    <cellStyle name="20% - Accent4 3 2 2 2 3" xfId="19810" xr:uid="{45042F20-78AB-47D4-A147-F03227C58CF9}"/>
    <cellStyle name="20% - Accent4 3 2 2 2 4" xfId="11368" xr:uid="{B9EA08C7-3246-41A4-AA31-DE3B5D23EDDF}"/>
    <cellStyle name="20% - Accent4 3 2 2 3" xfId="4948" xr:uid="{00000000-0005-0000-0000-000037020000}"/>
    <cellStyle name="20% - Accent4 3 2 2 3 2" xfId="21883" xr:uid="{C8F4EE86-5EBC-4159-92A8-F4010CA2DC66}"/>
    <cellStyle name="20% - Accent4 3 2 2 3 3" xfId="13442" xr:uid="{B44E7039-6E49-4681-BB1E-6040DB94E52B}"/>
    <cellStyle name="20% - Accent4 3 2 2 4" xfId="17665" xr:uid="{8DF30D2D-3330-4694-BB76-3392E1D38D13}"/>
    <cellStyle name="20% - Accent4 3 2 2 5" xfId="9190" xr:uid="{7093788B-43B4-4B14-87A5-7E4EF0E436BF}"/>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4441" xr:uid="{B10F313B-407A-484E-A47C-1E8B6DFB430B}"/>
    <cellStyle name="20% - Accent4 3 2 3 2 2 3" xfId="16000" xr:uid="{13380904-E61F-4FC3-AF5B-6B35DC9B6A13}"/>
    <cellStyle name="20% - Accent4 3 2 3 2 3" xfId="20223" xr:uid="{64A00B64-747C-4A0D-8AB1-5F0B9B3106F6}"/>
    <cellStyle name="20% - Accent4 3 2 3 2 4" xfId="11781" xr:uid="{03DCADE3-3BBE-4D1E-A2DC-D4F7D5A0D896}"/>
    <cellStyle name="20% - Accent4 3 2 3 3" xfId="5361" xr:uid="{00000000-0005-0000-0000-00003B020000}"/>
    <cellStyle name="20% - Accent4 3 2 3 3 2" xfId="22296" xr:uid="{857CE6ED-873B-4FD9-9206-8FBFC498E616}"/>
    <cellStyle name="20% - Accent4 3 2 3 3 3" xfId="13855" xr:uid="{EB3EA276-BBFD-458F-9579-5DA6793CCEEB}"/>
    <cellStyle name="20% - Accent4 3 2 3 4" xfId="18078" xr:uid="{7036A2E9-1F5D-4DE1-BD85-240437ABA3BF}"/>
    <cellStyle name="20% - Accent4 3 2 3 5" xfId="9604" xr:uid="{506940D1-E912-4797-97D3-C5B585C6BBFC}"/>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4854" xr:uid="{F93B66CB-D197-4F88-B705-84B820E820C5}"/>
    <cellStyle name="20% - Accent4 3 2 4 2 2 3" xfId="16413" xr:uid="{EF637878-C873-4ED4-AEA2-7418358AE6BD}"/>
    <cellStyle name="20% - Accent4 3 2 4 2 3" xfId="20636" xr:uid="{32664D3B-C126-42C9-B268-A2E4F90933E1}"/>
    <cellStyle name="20% - Accent4 3 2 4 2 4" xfId="12194" xr:uid="{A52EA57D-98C7-45CB-900A-DCC31E20FB03}"/>
    <cellStyle name="20% - Accent4 3 2 4 3" xfId="5774" xr:uid="{00000000-0005-0000-0000-00003F020000}"/>
    <cellStyle name="20% - Accent4 3 2 4 3 2" xfId="22709" xr:uid="{5BDC9850-7DB8-4444-BE6D-CF2B82AEAAC0}"/>
    <cellStyle name="20% - Accent4 3 2 4 3 3" xfId="14268" xr:uid="{11FF944B-3880-40BF-89AD-9CB1B0AD2574}"/>
    <cellStyle name="20% - Accent4 3 2 4 4" xfId="18491" xr:uid="{D02F5605-AF8C-4688-A17E-B4BB001FF235}"/>
    <cellStyle name="20% - Accent4 3 2 4 5" xfId="10017" xr:uid="{07A1B9EE-025A-45D2-803A-A2B43C32CAA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5267" xr:uid="{AE2A31D3-FE5D-4BEB-8B37-702D399D48D7}"/>
    <cellStyle name="20% - Accent4 3 2 5 2 2 3" xfId="16826" xr:uid="{81FC1687-A406-4582-B34F-7E9BE19EE9C9}"/>
    <cellStyle name="20% - Accent4 3 2 5 2 3" xfId="21049" xr:uid="{F1EB9A7E-ADBC-412B-BAE6-86E3109432EB}"/>
    <cellStyle name="20% - Accent4 3 2 5 2 4" xfId="12607" xr:uid="{2C5D3B54-EC8B-4AD2-85AD-F38AF723E270}"/>
    <cellStyle name="20% - Accent4 3 2 5 3" xfId="6187" xr:uid="{00000000-0005-0000-0000-000043020000}"/>
    <cellStyle name="20% - Accent4 3 2 5 3 2" xfId="23122" xr:uid="{9F2E2D1E-DBAE-41C2-A7C2-FDA7F9D377F6}"/>
    <cellStyle name="20% - Accent4 3 2 5 3 3" xfId="14681" xr:uid="{10FC4EFB-1517-464E-A56A-F6FAC442052B}"/>
    <cellStyle name="20% - Accent4 3 2 5 4" xfId="18904" xr:uid="{6D1217AC-F736-4752-9A27-4635857485B2}"/>
    <cellStyle name="20% - Accent4 3 2 5 5" xfId="10430" xr:uid="{43A1ABC3-B0D8-4523-82D7-4DB38199A9F6}"/>
    <cellStyle name="20% - Accent4 3 2 6" xfId="2294" xr:uid="{00000000-0005-0000-0000-000044020000}"/>
    <cellStyle name="20% - Accent4 3 2 6 2" xfId="6600" xr:uid="{00000000-0005-0000-0000-000045020000}"/>
    <cellStyle name="20% - Accent4 3 2 6 2 2" xfId="23535" xr:uid="{7C2C2513-EA39-4F7F-9E73-B7FC40273A24}"/>
    <cellStyle name="20% - Accent4 3 2 6 2 3" xfId="15094" xr:uid="{24BB35B6-DB5C-4A4D-BABE-0B1F6DAA8389}"/>
    <cellStyle name="20% - Accent4 3 2 6 3" xfId="19317" xr:uid="{1FA6765D-8215-4379-9834-BB0D4720840C}"/>
    <cellStyle name="20% - Accent4 3 2 6 4" xfId="10843" xr:uid="{AEF8686C-1A71-45EB-9A46-A0BF2E7DBBD5}"/>
    <cellStyle name="20% - Accent4 3 2 7" xfId="4534" xr:uid="{00000000-0005-0000-0000-000046020000}"/>
    <cellStyle name="20% - Accent4 3 2 7 2" xfId="21469" xr:uid="{EC7DFD4D-922D-4599-BC1D-B0BB2E38DDC9}"/>
    <cellStyle name="20% - Accent4 3 2 7 3" xfId="13028" xr:uid="{B6F02B34-14C5-4176-8948-DD63A71B8EA9}"/>
    <cellStyle name="20% - Accent4 3 2 8" xfId="17251" xr:uid="{0F452F5E-6914-4FC0-9E53-F5B93F7C3717}"/>
    <cellStyle name="20% - Accent4 3 2 9" xfId="8766" xr:uid="{1F8F9A24-BE49-42E3-948B-B5E3AFAE4B18}"/>
    <cellStyle name="20% - Accent4 3 3" xfId="599" xr:uid="{00000000-0005-0000-0000-000047020000}"/>
    <cellStyle name="20% - Accent4 3 3 2" xfId="2870" xr:uid="{00000000-0005-0000-0000-000048020000}"/>
    <cellStyle name="20% - Accent4 3 3 2 2" xfId="7092" xr:uid="{00000000-0005-0000-0000-000049020000}"/>
    <cellStyle name="20% - Accent4 3 3 2 2 2" xfId="24027" xr:uid="{9CC32D7B-7245-4E07-87F8-BDF17963E808}"/>
    <cellStyle name="20% - Accent4 3 3 2 2 3" xfId="15586" xr:uid="{720FA2A3-E451-4473-9E97-A7A2B2FE6E4B}"/>
    <cellStyle name="20% - Accent4 3 3 2 3" xfId="19809" xr:uid="{11835BEC-DBAF-4AED-82D1-03E24C5078D6}"/>
    <cellStyle name="20% - Accent4 3 3 2 4" xfId="11367" xr:uid="{4A3FF435-875D-4F66-84A7-275128774C4F}"/>
    <cellStyle name="20% - Accent4 3 3 3" xfId="4947" xr:uid="{00000000-0005-0000-0000-00004A020000}"/>
    <cellStyle name="20% - Accent4 3 3 3 2" xfId="21882" xr:uid="{241B43B2-852A-4584-B8FC-E35F778095DE}"/>
    <cellStyle name="20% - Accent4 3 3 3 3" xfId="13441" xr:uid="{A1DA0BBD-D99B-41DC-996E-BC5B4F9A00C3}"/>
    <cellStyle name="20% - Accent4 3 3 4" xfId="17664" xr:uid="{B071388B-F2C3-44D4-80AA-BADD91A44F67}"/>
    <cellStyle name="20% - Accent4 3 3 5" xfId="9189" xr:uid="{FE26E3F3-056B-4B51-8154-40A744BCDFF0}"/>
    <cellStyle name="20% - Accent4 3 4" xfId="1052" xr:uid="{00000000-0005-0000-0000-00004B020000}"/>
    <cellStyle name="20% - Accent4 3 4 2" xfId="3283" xr:uid="{00000000-0005-0000-0000-00004C020000}"/>
    <cellStyle name="20% - Accent4 3 4 2 2" xfId="7505" xr:uid="{00000000-0005-0000-0000-00004D020000}"/>
    <cellStyle name="20% - Accent4 3 4 2 2 2" xfId="24440" xr:uid="{6B901C14-5E58-4263-8CC7-B85E9C667DE8}"/>
    <cellStyle name="20% - Accent4 3 4 2 2 3" xfId="15999" xr:uid="{A3058E7A-F287-4FE1-9543-4FD4E1575C2D}"/>
    <cellStyle name="20% - Accent4 3 4 2 3" xfId="20222" xr:uid="{F8A383C3-1A6D-4574-9D8A-A20A1E3FDB10}"/>
    <cellStyle name="20% - Accent4 3 4 2 4" xfId="11780" xr:uid="{9FDA2A59-F81D-4A84-B2D7-B27651572757}"/>
    <cellStyle name="20% - Accent4 3 4 3" xfId="5360" xr:uid="{00000000-0005-0000-0000-00004E020000}"/>
    <cellStyle name="20% - Accent4 3 4 3 2" xfId="22295" xr:uid="{1E6D9F1B-6B41-45C1-B925-83B3D5A7EE16}"/>
    <cellStyle name="20% - Accent4 3 4 3 3" xfId="13854" xr:uid="{D3EA30F1-CE8C-4163-8386-DFFBE57D516C}"/>
    <cellStyle name="20% - Accent4 3 4 4" xfId="18077" xr:uid="{CCA4AAFB-9331-4D4B-9872-E496178C2252}"/>
    <cellStyle name="20% - Accent4 3 4 5" xfId="9603" xr:uid="{50D2FAA0-A943-43BB-BBBB-FFD6A0B17EBF}"/>
    <cellStyle name="20% - Accent4 3 5" xfId="1466" xr:uid="{00000000-0005-0000-0000-00004F020000}"/>
    <cellStyle name="20% - Accent4 3 5 2" xfId="3696" xr:uid="{00000000-0005-0000-0000-000050020000}"/>
    <cellStyle name="20% - Accent4 3 5 2 2" xfId="7918" xr:uid="{00000000-0005-0000-0000-000051020000}"/>
    <cellStyle name="20% - Accent4 3 5 2 2 2" xfId="24853" xr:uid="{3FE36668-4177-494F-AA10-F53B87AA1FB8}"/>
    <cellStyle name="20% - Accent4 3 5 2 2 3" xfId="16412" xr:uid="{3B8EF7C4-490B-46F6-A2F1-FA65D6B79298}"/>
    <cellStyle name="20% - Accent4 3 5 2 3" xfId="20635" xr:uid="{AC521D50-91E4-45ED-8259-AF6877379605}"/>
    <cellStyle name="20% - Accent4 3 5 2 4" xfId="12193" xr:uid="{936AFD3D-B162-48FC-84B6-50F78FFAACEF}"/>
    <cellStyle name="20% - Accent4 3 5 3" xfId="5773" xr:uid="{00000000-0005-0000-0000-000052020000}"/>
    <cellStyle name="20% - Accent4 3 5 3 2" xfId="22708" xr:uid="{38BDF930-2757-44C3-A47F-258BBBE5F507}"/>
    <cellStyle name="20% - Accent4 3 5 3 3" xfId="14267" xr:uid="{332FE409-DA0C-4B3C-8280-34C1D7737487}"/>
    <cellStyle name="20% - Accent4 3 5 4" xfId="18490" xr:uid="{20E2EF12-844E-4B1B-8BC2-4C58FA1D5215}"/>
    <cellStyle name="20% - Accent4 3 5 5" xfId="10016" xr:uid="{F7756EFD-72C8-42A0-AA48-588AB3A7372B}"/>
    <cellStyle name="20% - Accent4 3 6" xfId="1880" xr:uid="{00000000-0005-0000-0000-000053020000}"/>
    <cellStyle name="20% - Accent4 3 6 2" xfId="4109" xr:uid="{00000000-0005-0000-0000-000054020000}"/>
    <cellStyle name="20% - Accent4 3 6 2 2" xfId="8331" xr:uid="{00000000-0005-0000-0000-000055020000}"/>
    <cellStyle name="20% - Accent4 3 6 2 2 2" xfId="25266" xr:uid="{5C7532BD-8A2F-4ECA-82F9-86FE62799602}"/>
    <cellStyle name="20% - Accent4 3 6 2 2 3" xfId="16825" xr:uid="{F5821EB3-EF1E-4671-8CCA-FAC78DAD0DEE}"/>
    <cellStyle name="20% - Accent4 3 6 2 3" xfId="21048" xr:uid="{C61893E8-29C7-43C3-A965-3DE0A39998A2}"/>
    <cellStyle name="20% - Accent4 3 6 2 4" xfId="12606" xr:uid="{630F9EBD-4D5E-4C0A-BD6A-97DF34926B1E}"/>
    <cellStyle name="20% - Accent4 3 6 3" xfId="6186" xr:uid="{00000000-0005-0000-0000-000056020000}"/>
    <cellStyle name="20% - Accent4 3 6 3 2" xfId="23121" xr:uid="{A112EEB4-0F1A-4759-ACD4-FF8AF79E5866}"/>
    <cellStyle name="20% - Accent4 3 6 3 3" xfId="14680" xr:uid="{616452F3-B339-4AE0-8664-F3F97843DB12}"/>
    <cellStyle name="20% - Accent4 3 6 4" xfId="18903" xr:uid="{3119A3EE-0EC6-4121-8FA8-3951FCA28113}"/>
    <cellStyle name="20% - Accent4 3 6 5" xfId="10429" xr:uid="{2D9E4E5B-CA54-480E-8BC2-85E703534E77}"/>
    <cellStyle name="20% - Accent4 3 7" xfId="2293" xr:uid="{00000000-0005-0000-0000-000057020000}"/>
    <cellStyle name="20% - Accent4 3 7 2" xfId="6599" xr:uid="{00000000-0005-0000-0000-000058020000}"/>
    <cellStyle name="20% - Accent4 3 7 2 2" xfId="23534" xr:uid="{68879BF1-5A80-43C0-9B5F-118BCE8B09F3}"/>
    <cellStyle name="20% - Accent4 3 7 2 3" xfId="15093" xr:uid="{046AB1E3-FEBC-4D6A-858A-A8968525D94F}"/>
    <cellStyle name="20% - Accent4 3 7 3" xfId="19316" xr:uid="{88B7165E-FA6F-432F-9197-8B356F7986F4}"/>
    <cellStyle name="20% - Accent4 3 7 4" xfId="10842" xr:uid="{3B88893A-B31C-4ADC-9DAC-34AD46CFE51A}"/>
    <cellStyle name="20% - Accent4 3 8" xfId="4533" xr:uid="{00000000-0005-0000-0000-000059020000}"/>
    <cellStyle name="20% - Accent4 3 8 2" xfId="21468" xr:uid="{EB9394A8-60C5-4C3F-B7D4-F057423A6587}"/>
    <cellStyle name="20% - Accent4 3 8 3" xfId="13027" xr:uid="{2DC02DF4-6B5A-4C4F-ABF1-13C16A2405BF}"/>
    <cellStyle name="20% - Accent4 3 9" xfId="17250" xr:uid="{576DA193-D591-4BF3-9400-4B00D4C2E53A}"/>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24029" xr:uid="{A1E196D9-A55D-4D2E-9063-1E1304385BD8}"/>
    <cellStyle name="20% - Accent4 4 2 2 2 3" xfId="15588" xr:uid="{CCB54D76-FE6B-42E2-9472-229027417815}"/>
    <cellStyle name="20% - Accent4 4 2 2 3" xfId="19811" xr:uid="{F58D1948-E922-4E1A-BD79-76BF1EF9C129}"/>
    <cellStyle name="20% - Accent4 4 2 2 4" xfId="11369" xr:uid="{23BDACC7-E8E1-41F2-AA9B-678158680DB6}"/>
    <cellStyle name="20% - Accent4 4 2 3" xfId="4949" xr:uid="{00000000-0005-0000-0000-00005E020000}"/>
    <cellStyle name="20% - Accent4 4 2 3 2" xfId="21884" xr:uid="{4B04AE32-B26C-4EEE-84CB-03636CA08D45}"/>
    <cellStyle name="20% - Accent4 4 2 3 3" xfId="13443" xr:uid="{ABC4B0AB-B457-4986-9FEA-D0D3E2E0ACD6}"/>
    <cellStyle name="20% - Accent4 4 2 4" xfId="17666" xr:uid="{2AEB028B-7FFD-40BA-B31A-4EF350B5915B}"/>
    <cellStyle name="20% - Accent4 4 2 5" xfId="9191" xr:uid="{6D6B94F0-F50F-407F-B5AF-63A6B4A4387C}"/>
    <cellStyle name="20% - Accent4 4 3" xfId="1054" xr:uid="{00000000-0005-0000-0000-00005F020000}"/>
    <cellStyle name="20% - Accent4 4 3 2" xfId="3285" xr:uid="{00000000-0005-0000-0000-000060020000}"/>
    <cellStyle name="20% - Accent4 4 3 2 2" xfId="7507" xr:uid="{00000000-0005-0000-0000-000061020000}"/>
    <cellStyle name="20% - Accent4 4 3 2 2 2" xfId="24442" xr:uid="{6C1769E5-6BBA-4FDF-97C6-648F8B605B83}"/>
    <cellStyle name="20% - Accent4 4 3 2 2 3" xfId="16001" xr:uid="{2E7818C4-8D07-45F2-BF5F-EF19FB49E817}"/>
    <cellStyle name="20% - Accent4 4 3 2 3" xfId="20224" xr:uid="{E28EE5C9-7A31-441A-BD12-B34DB20EB67D}"/>
    <cellStyle name="20% - Accent4 4 3 2 4" xfId="11782" xr:uid="{986438F6-0745-456C-B905-ED7C5506270D}"/>
    <cellStyle name="20% - Accent4 4 3 3" xfId="5362" xr:uid="{00000000-0005-0000-0000-000062020000}"/>
    <cellStyle name="20% - Accent4 4 3 3 2" xfId="22297" xr:uid="{01C70A35-4C23-4F18-AF36-EC44C5091B09}"/>
    <cellStyle name="20% - Accent4 4 3 3 3" xfId="13856" xr:uid="{B81E31A8-075A-4938-A843-D15A76E46594}"/>
    <cellStyle name="20% - Accent4 4 3 4" xfId="18079" xr:uid="{FB60A1BB-7F3B-4167-9E0C-2731BC27919A}"/>
    <cellStyle name="20% - Accent4 4 3 5" xfId="9605" xr:uid="{D095E083-E88B-4D95-82E4-F02699F81AC8}"/>
    <cellStyle name="20% - Accent4 4 4" xfId="1468" xr:uid="{00000000-0005-0000-0000-000063020000}"/>
    <cellStyle name="20% - Accent4 4 4 2" xfId="3698" xr:uid="{00000000-0005-0000-0000-000064020000}"/>
    <cellStyle name="20% - Accent4 4 4 2 2" xfId="7920" xr:uid="{00000000-0005-0000-0000-000065020000}"/>
    <cellStyle name="20% - Accent4 4 4 2 2 2" xfId="24855" xr:uid="{B0FFA2D6-256E-4406-A425-FE17DE99EA2A}"/>
    <cellStyle name="20% - Accent4 4 4 2 2 3" xfId="16414" xr:uid="{E1D9A7D7-426A-4132-8E3D-6372D5471AF1}"/>
    <cellStyle name="20% - Accent4 4 4 2 3" xfId="20637" xr:uid="{CCD79B9E-C4D2-435D-8F93-98401DC2DEDD}"/>
    <cellStyle name="20% - Accent4 4 4 2 4" xfId="12195" xr:uid="{3961EF5C-662B-49CB-AABC-1A6A0236923F}"/>
    <cellStyle name="20% - Accent4 4 4 3" xfId="5775" xr:uid="{00000000-0005-0000-0000-000066020000}"/>
    <cellStyle name="20% - Accent4 4 4 3 2" xfId="22710" xr:uid="{AAE9AA3C-99FD-439D-9E97-BD97D785643A}"/>
    <cellStyle name="20% - Accent4 4 4 3 3" xfId="14269" xr:uid="{0E2BB388-1991-4F02-B1CE-47A4BBC86D26}"/>
    <cellStyle name="20% - Accent4 4 4 4" xfId="18492" xr:uid="{D4F2959F-AB83-4A58-9DF4-C24C01A2E8A2}"/>
    <cellStyle name="20% - Accent4 4 4 5" xfId="10018" xr:uid="{8A7E2C50-75B2-4A00-AB97-45BD222F1A12}"/>
    <cellStyle name="20% - Accent4 4 5" xfId="1882" xr:uid="{00000000-0005-0000-0000-000067020000}"/>
    <cellStyle name="20% - Accent4 4 5 2" xfId="4111" xr:uid="{00000000-0005-0000-0000-000068020000}"/>
    <cellStyle name="20% - Accent4 4 5 2 2" xfId="8333" xr:uid="{00000000-0005-0000-0000-000069020000}"/>
    <cellStyle name="20% - Accent4 4 5 2 2 2" xfId="25268" xr:uid="{9FAAC2C1-8202-424F-8655-C98671737425}"/>
    <cellStyle name="20% - Accent4 4 5 2 2 3" xfId="16827" xr:uid="{E1FAEF1C-BA7D-4E0F-8A19-DBDE062B253A}"/>
    <cellStyle name="20% - Accent4 4 5 2 3" xfId="21050" xr:uid="{1AF6985E-A81E-4E66-B7D2-CABEA084A9C9}"/>
    <cellStyle name="20% - Accent4 4 5 2 4" xfId="12608" xr:uid="{45B635AE-BBF2-4D6E-8C58-AB484A89C4CB}"/>
    <cellStyle name="20% - Accent4 4 5 3" xfId="6188" xr:uid="{00000000-0005-0000-0000-00006A020000}"/>
    <cellStyle name="20% - Accent4 4 5 3 2" xfId="23123" xr:uid="{1370C8D3-4B07-4A7A-A7BE-4049D8ADE3C2}"/>
    <cellStyle name="20% - Accent4 4 5 3 3" xfId="14682" xr:uid="{F3CA36F1-FBCC-4494-9EB4-DE2DB1A51220}"/>
    <cellStyle name="20% - Accent4 4 5 4" xfId="18905" xr:uid="{C9332611-3992-42C9-89FA-C3D04A01C106}"/>
    <cellStyle name="20% - Accent4 4 5 5" xfId="10431" xr:uid="{85AC51EF-1B9B-47DC-9155-4F7A4CB1FAA2}"/>
    <cellStyle name="20% - Accent4 4 6" xfId="2295" xr:uid="{00000000-0005-0000-0000-00006B020000}"/>
    <cellStyle name="20% - Accent4 4 6 2" xfId="6601" xr:uid="{00000000-0005-0000-0000-00006C020000}"/>
    <cellStyle name="20% - Accent4 4 6 2 2" xfId="23536" xr:uid="{D429D104-0EE4-4ED1-A06B-63055DA7A159}"/>
    <cellStyle name="20% - Accent4 4 6 2 3" xfId="15095" xr:uid="{7D3E2E55-C885-4601-AE90-86A351EF5F40}"/>
    <cellStyle name="20% - Accent4 4 6 3" xfId="19318" xr:uid="{CBCFF1C8-C58F-4B14-8802-CA64FDD35C3B}"/>
    <cellStyle name="20% - Accent4 4 6 4" xfId="10844" xr:uid="{CC7D9ECD-A4CA-4920-B375-5C7F95E5CDA1}"/>
    <cellStyle name="20% - Accent4 4 7" xfId="4535" xr:uid="{00000000-0005-0000-0000-00006D020000}"/>
    <cellStyle name="20% - Accent4 4 7 2" xfId="21470" xr:uid="{12D73997-D199-4BD5-AD10-01C116CE3E51}"/>
    <cellStyle name="20% - Accent4 4 7 3" xfId="13029" xr:uid="{56991046-FF25-4750-924F-EC7E1E806930}"/>
    <cellStyle name="20% - Accent4 4 8" xfId="17252" xr:uid="{3AD0F5EE-45D5-4049-AD16-DF41DD66E401}"/>
    <cellStyle name="20% - Accent4 4 9" xfId="8767" xr:uid="{66ECF6D5-1F6F-4378-9DF3-358F14FAA2CB}"/>
    <cellStyle name="20% - Accent4 5" xfId="594" xr:uid="{00000000-0005-0000-0000-00006E020000}"/>
    <cellStyle name="20% - Accent4 5 2" xfId="2865" xr:uid="{00000000-0005-0000-0000-00006F020000}"/>
    <cellStyle name="20% - Accent4 5 2 2" xfId="7087" xr:uid="{00000000-0005-0000-0000-000070020000}"/>
    <cellStyle name="20% - Accent4 5 2 2 2" xfId="24022" xr:uid="{31220F02-BCA5-462B-8A20-556C2F2401EF}"/>
    <cellStyle name="20% - Accent4 5 2 2 3" xfId="15581" xr:uid="{12377080-7B5E-4F14-A0D9-96DB6C4C9D4D}"/>
    <cellStyle name="20% - Accent4 5 2 3" xfId="19804" xr:uid="{5B0B7E71-9363-41F1-9867-BBB990FD391A}"/>
    <cellStyle name="20% - Accent4 5 2 4" xfId="11362" xr:uid="{1C363577-403A-466F-9F21-DC3D4EB471DC}"/>
    <cellStyle name="20% - Accent4 5 3" xfId="4942" xr:uid="{00000000-0005-0000-0000-000071020000}"/>
    <cellStyle name="20% - Accent4 5 3 2" xfId="21877" xr:uid="{9E7258EF-043B-4E94-A101-F1E71A587845}"/>
    <cellStyle name="20% - Accent4 5 3 3" xfId="13436" xr:uid="{6B94E2B3-CFDC-43D9-B930-DBA06FB2D3A1}"/>
    <cellStyle name="20% - Accent4 5 4" xfId="17659" xr:uid="{6FD992A5-2695-44AA-BE0E-9AEBD936A1B6}"/>
    <cellStyle name="20% - Accent4 5 5" xfId="9184" xr:uid="{CA8DD1B6-8BE2-4B99-AD99-4A1363342AC3}"/>
    <cellStyle name="20% - Accent4 6" xfId="1047" xr:uid="{00000000-0005-0000-0000-000072020000}"/>
    <cellStyle name="20% - Accent4 6 2" xfId="3278" xr:uid="{00000000-0005-0000-0000-000073020000}"/>
    <cellStyle name="20% - Accent4 6 2 2" xfId="7500" xr:uid="{00000000-0005-0000-0000-000074020000}"/>
    <cellStyle name="20% - Accent4 6 2 2 2" xfId="24435" xr:uid="{ACE884CC-FC0E-4206-92A0-2E06378D20DD}"/>
    <cellStyle name="20% - Accent4 6 2 2 3" xfId="15994" xr:uid="{4CACD411-0D25-4BE0-ADFE-E220E977EF31}"/>
    <cellStyle name="20% - Accent4 6 2 3" xfId="20217" xr:uid="{B5EA6F16-24E8-43D0-A514-13998734ED8D}"/>
    <cellStyle name="20% - Accent4 6 2 4" xfId="11775" xr:uid="{4AA53F51-6AAC-4F79-8ECC-270E6993CF72}"/>
    <cellStyle name="20% - Accent4 6 3" xfId="5355" xr:uid="{00000000-0005-0000-0000-000075020000}"/>
    <cellStyle name="20% - Accent4 6 3 2" xfId="22290" xr:uid="{5EAE19E9-868F-47A7-9DFA-7101562535B3}"/>
    <cellStyle name="20% - Accent4 6 3 3" xfId="13849" xr:uid="{2C3034E4-8592-45F8-8124-1A137DAA4DA9}"/>
    <cellStyle name="20% - Accent4 6 4" xfId="18072" xr:uid="{0D32DCA7-E8CE-47D7-B695-4386FD79EC6C}"/>
    <cellStyle name="20% - Accent4 6 5" xfId="9598" xr:uid="{A43F9B80-6583-4983-B9FB-57CFBBB3E3D8}"/>
    <cellStyle name="20% - Accent4 7" xfId="1461" xr:uid="{00000000-0005-0000-0000-000076020000}"/>
    <cellStyle name="20% - Accent4 7 2" xfId="3691" xr:uid="{00000000-0005-0000-0000-000077020000}"/>
    <cellStyle name="20% - Accent4 7 2 2" xfId="7913" xr:uid="{00000000-0005-0000-0000-000078020000}"/>
    <cellStyle name="20% - Accent4 7 2 2 2" xfId="24848" xr:uid="{5AE3AAA5-F2CB-420D-97E5-94FFEF9E4D4A}"/>
    <cellStyle name="20% - Accent4 7 2 2 3" xfId="16407" xr:uid="{BC489ED6-C9B6-4B0F-8B4E-B7319C052A4C}"/>
    <cellStyle name="20% - Accent4 7 2 3" xfId="20630" xr:uid="{636BAEC8-97F6-49A6-A906-917AEEEB074E}"/>
    <cellStyle name="20% - Accent4 7 2 4" xfId="12188" xr:uid="{DDC62837-7E3A-465F-8E4A-BC555E9A473B}"/>
    <cellStyle name="20% - Accent4 7 3" xfId="5768" xr:uid="{00000000-0005-0000-0000-000079020000}"/>
    <cellStyle name="20% - Accent4 7 3 2" xfId="22703" xr:uid="{AD6AFD19-A4B9-4DA0-A2EB-049474E87239}"/>
    <cellStyle name="20% - Accent4 7 3 3" xfId="14262" xr:uid="{29E9CA18-7BE1-4326-9AE0-4023B98E7A5D}"/>
    <cellStyle name="20% - Accent4 7 4" xfId="18485" xr:uid="{329E9E09-5458-4A0D-9596-0497104D6C61}"/>
    <cellStyle name="20% - Accent4 7 5" xfId="10011" xr:uid="{9C076818-7DB0-45D6-952B-9EB03272CB51}"/>
    <cellStyle name="20% - Accent4 8" xfId="1875" xr:uid="{00000000-0005-0000-0000-00007A020000}"/>
    <cellStyle name="20% - Accent4 8 2" xfId="4104" xr:uid="{00000000-0005-0000-0000-00007B020000}"/>
    <cellStyle name="20% - Accent4 8 2 2" xfId="8326" xr:uid="{00000000-0005-0000-0000-00007C020000}"/>
    <cellStyle name="20% - Accent4 8 2 2 2" xfId="25261" xr:uid="{E6EF8697-07B8-40AB-90C2-ED91708E6E14}"/>
    <cellStyle name="20% - Accent4 8 2 2 3" xfId="16820" xr:uid="{18096C72-60AF-475A-A2DF-67808D82EB71}"/>
    <cellStyle name="20% - Accent4 8 2 3" xfId="21043" xr:uid="{E48CD984-0CCD-4523-BA0A-1AE5775B7B5E}"/>
    <cellStyle name="20% - Accent4 8 2 4" xfId="12601" xr:uid="{7800B5AD-89DA-4E4D-8AF3-48047D1BFDB3}"/>
    <cellStyle name="20% - Accent4 8 3" xfId="6181" xr:uid="{00000000-0005-0000-0000-00007D020000}"/>
    <cellStyle name="20% - Accent4 8 3 2" xfId="23116" xr:uid="{1F78832A-5A06-40B4-B549-603420BF9220}"/>
    <cellStyle name="20% - Accent4 8 3 3" xfId="14675" xr:uid="{1B5274C8-6F02-425D-8B91-F096655B5E23}"/>
    <cellStyle name="20% - Accent4 8 4" xfId="18898" xr:uid="{82B31A3A-ADC8-45D6-AF87-9D0210967678}"/>
    <cellStyle name="20% - Accent4 8 5" xfId="10424" xr:uid="{AC790BB6-2658-4E03-ABFA-B1C7206C4F18}"/>
    <cellStyle name="20% - Accent4 9" xfId="2288" xr:uid="{00000000-0005-0000-0000-00007E020000}"/>
    <cellStyle name="20% - Accent4 9 2" xfId="6594" xr:uid="{00000000-0005-0000-0000-00007F020000}"/>
    <cellStyle name="20% - Accent4 9 2 2" xfId="23529" xr:uid="{70B09EEF-DA82-4370-9B33-3FBA584148A9}"/>
    <cellStyle name="20% - Accent4 9 2 3" xfId="15088" xr:uid="{30B0C52C-C4FC-4A2F-9BB9-25CD3EA41FE9}"/>
    <cellStyle name="20% - Accent4 9 3" xfId="19311" xr:uid="{2602007D-95F6-4AF0-BCE4-4739255C4DED}"/>
    <cellStyle name="20% - Accent4 9 4" xfId="10837" xr:uid="{D028C832-3F12-48A3-895E-6C25C6B6C03B}"/>
    <cellStyle name="20% - Accent5" xfId="33" builtinId="46" customBuiltin="1"/>
    <cellStyle name="20% - Accent5 10" xfId="4536" xr:uid="{00000000-0005-0000-0000-000081020000}"/>
    <cellStyle name="20% - Accent5 10 2" xfId="21471" xr:uid="{2D7D88D3-12BA-4976-90E7-14F7FD726203}"/>
    <cellStyle name="20% - Accent5 10 3" xfId="13030" xr:uid="{51BA5DB7-C8B5-4B43-8B1F-1C6CD44128EA}"/>
    <cellStyle name="20% - Accent5 11" xfId="17253" xr:uid="{6F011C99-B207-4971-A13A-AC9D346B37BC}"/>
    <cellStyle name="20% - Accent5 12" xfId="8768" xr:uid="{7373E017-A2BF-461B-A4EE-903702A625D0}"/>
    <cellStyle name="20% - Accent5 2" xfId="34" xr:uid="{00000000-0005-0000-0000-000082020000}"/>
    <cellStyle name="20% - Accent5 2 10" xfId="17254" xr:uid="{7E114DFD-7F47-4B3D-A311-71634D94DB45}"/>
    <cellStyle name="20% - Accent5 2 11" xfId="8769" xr:uid="{4E4E3AE8-1DEF-4914-8D96-18734D4E813E}"/>
    <cellStyle name="20% - Accent5 2 2" xfId="35" xr:uid="{00000000-0005-0000-0000-000083020000}"/>
    <cellStyle name="20% - Accent5 2 2 10" xfId="8770" xr:uid="{F6A4FDED-766B-4573-B5A3-B99126E025EE}"/>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4033" xr:uid="{E7F6E34C-0A84-491C-B2B7-1C3056463D5C}"/>
    <cellStyle name="20% - Accent5 2 2 2 2 2 2 3" xfId="15592" xr:uid="{985A682A-142D-4FFE-B943-C5502F8CE515}"/>
    <cellStyle name="20% - Accent5 2 2 2 2 2 3" xfId="19815" xr:uid="{D8EBD6BF-BE2B-4FFA-A1F6-C5AD3A9937E3}"/>
    <cellStyle name="20% - Accent5 2 2 2 2 2 4" xfId="11373" xr:uid="{F4923454-D586-42AA-B5B3-31FC13F1BA81}"/>
    <cellStyle name="20% - Accent5 2 2 2 2 3" xfId="4953" xr:uid="{00000000-0005-0000-0000-000088020000}"/>
    <cellStyle name="20% - Accent5 2 2 2 2 3 2" xfId="21888" xr:uid="{31C430D7-6634-4003-9DCA-3FD88E36E275}"/>
    <cellStyle name="20% - Accent5 2 2 2 2 3 3" xfId="13447" xr:uid="{786E2A7F-3BAF-4D9A-BCAD-F34B5C8685F2}"/>
    <cellStyle name="20% - Accent5 2 2 2 2 4" xfId="17670" xr:uid="{9B523D89-4E8C-4E19-834A-2270ED38D1AC}"/>
    <cellStyle name="20% - Accent5 2 2 2 2 5" xfId="9195" xr:uid="{C2057F9B-C240-4437-87E4-4676F3B7BEE7}"/>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4446" xr:uid="{4FC42F32-129F-4C44-83D0-B775F4C2CC8D}"/>
    <cellStyle name="20% - Accent5 2 2 2 3 2 2 3" xfId="16005" xr:uid="{FE8C3B3A-E26E-4A6C-857F-4FDA3D0CB92E}"/>
    <cellStyle name="20% - Accent5 2 2 2 3 2 3" xfId="20228" xr:uid="{D4162B82-71F7-4823-89D9-C78A1D01BA6D}"/>
    <cellStyle name="20% - Accent5 2 2 2 3 2 4" xfId="11786" xr:uid="{F0E5B1C3-CED2-4E4B-A306-FE76C53AF163}"/>
    <cellStyle name="20% - Accent5 2 2 2 3 3" xfId="5366" xr:uid="{00000000-0005-0000-0000-00008C020000}"/>
    <cellStyle name="20% - Accent5 2 2 2 3 3 2" xfId="22301" xr:uid="{A48B71DD-6095-4916-A3EA-4736E8435A65}"/>
    <cellStyle name="20% - Accent5 2 2 2 3 3 3" xfId="13860" xr:uid="{D5D1F048-7322-4ACF-A2C7-280DC0E69733}"/>
    <cellStyle name="20% - Accent5 2 2 2 3 4" xfId="18083" xr:uid="{B7EC2B82-4381-46B1-BA74-39889BF9F2F3}"/>
    <cellStyle name="20% - Accent5 2 2 2 3 5" xfId="9609" xr:uid="{166AD90E-FFF9-49F4-9D9B-5DD7D526A1B1}"/>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4859" xr:uid="{A6D01780-A03B-4CC1-83B2-F6EF2B592C14}"/>
    <cellStyle name="20% - Accent5 2 2 2 4 2 2 3" xfId="16418" xr:uid="{65985A1B-CBC9-4020-9B1A-872CFFE666C1}"/>
    <cellStyle name="20% - Accent5 2 2 2 4 2 3" xfId="20641" xr:uid="{A608B508-BA94-45C9-880F-2CD09FA98A59}"/>
    <cellStyle name="20% - Accent5 2 2 2 4 2 4" xfId="12199" xr:uid="{A790EFC1-3823-40A5-8231-D6DD7D1221C6}"/>
    <cellStyle name="20% - Accent5 2 2 2 4 3" xfId="5779" xr:uid="{00000000-0005-0000-0000-000090020000}"/>
    <cellStyle name="20% - Accent5 2 2 2 4 3 2" xfId="22714" xr:uid="{3DF627E3-5441-4A86-8ED4-95DC6B1B4A18}"/>
    <cellStyle name="20% - Accent5 2 2 2 4 3 3" xfId="14273" xr:uid="{78C018EA-97F2-49D5-8EE3-3F9887F8197E}"/>
    <cellStyle name="20% - Accent5 2 2 2 4 4" xfId="18496" xr:uid="{8B73798D-CE55-49A6-B04E-720D633CB79B}"/>
    <cellStyle name="20% - Accent5 2 2 2 4 5" xfId="10022" xr:uid="{D127A3BD-E805-4553-9E36-2F50CABE8C4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5272" xr:uid="{B8E8ADA6-5BFC-4A2F-B04C-3CD9BB3A1A96}"/>
    <cellStyle name="20% - Accent5 2 2 2 5 2 2 3" xfId="16831" xr:uid="{0161E5E6-B2D1-4A37-AB54-B79D71FEF297}"/>
    <cellStyle name="20% - Accent5 2 2 2 5 2 3" xfId="21054" xr:uid="{C787E873-87FF-4310-B459-3A581874F904}"/>
    <cellStyle name="20% - Accent5 2 2 2 5 2 4" xfId="12612" xr:uid="{075A7FC4-B29F-4624-90D9-AEBA729CB509}"/>
    <cellStyle name="20% - Accent5 2 2 2 5 3" xfId="6192" xr:uid="{00000000-0005-0000-0000-000094020000}"/>
    <cellStyle name="20% - Accent5 2 2 2 5 3 2" xfId="23127" xr:uid="{FE01514E-5DEE-4D68-B2D5-6E8B17CA9FA5}"/>
    <cellStyle name="20% - Accent5 2 2 2 5 3 3" xfId="14686" xr:uid="{40515D71-0F40-4D30-88C9-4211E4EC0AC7}"/>
    <cellStyle name="20% - Accent5 2 2 2 5 4" xfId="18909" xr:uid="{F2433458-71AD-4B7B-B964-9156AA1E9A57}"/>
    <cellStyle name="20% - Accent5 2 2 2 5 5" xfId="10435" xr:uid="{15D0FDB7-C3A3-45A9-9408-2308C3331398}"/>
    <cellStyle name="20% - Accent5 2 2 2 6" xfId="2299" xr:uid="{00000000-0005-0000-0000-000095020000}"/>
    <cellStyle name="20% - Accent5 2 2 2 6 2" xfId="6605" xr:uid="{00000000-0005-0000-0000-000096020000}"/>
    <cellStyle name="20% - Accent5 2 2 2 6 2 2" xfId="23540" xr:uid="{645E7668-465C-47F0-95A4-259FC1DF0952}"/>
    <cellStyle name="20% - Accent5 2 2 2 6 2 3" xfId="15099" xr:uid="{D7F4F2D4-62B8-4084-BD9E-CD50D7D6AA23}"/>
    <cellStyle name="20% - Accent5 2 2 2 6 3" xfId="19322" xr:uid="{7839F8DD-54D9-4941-85D1-7FF29282794B}"/>
    <cellStyle name="20% - Accent5 2 2 2 6 4" xfId="10848" xr:uid="{760178EA-2814-4825-9EEB-BF3342DA74CF}"/>
    <cellStyle name="20% - Accent5 2 2 2 7" xfId="4539" xr:uid="{00000000-0005-0000-0000-000097020000}"/>
    <cellStyle name="20% - Accent5 2 2 2 7 2" xfId="21474" xr:uid="{EF780B65-A379-48F0-9710-AD4637C04468}"/>
    <cellStyle name="20% - Accent5 2 2 2 7 3" xfId="13033" xr:uid="{E3220F50-4ABE-479D-80F6-4A939C97EEF4}"/>
    <cellStyle name="20% - Accent5 2 2 2 8" xfId="17256" xr:uid="{261CDA2E-E162-4A71-97FA-5BA9E73B0119}"/>
    <cellStyle name="20% - Accent5 2 2 2 9" xfId="8771" xr:uid="{33A6084E-E9B8-4727-BB53-8D710498AA97}"/>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4032" xr:uid="{C8145BDE-3475-4661-93B9-53EA072F60D9}"/>
    <cellStyle name="20% - Accent5 2 2 3 2 2 3" xfId="15591" xr:uid="{C6B3E904-893B-4DAE-A86D-784BA2777207}"/>
    <cellStyle name="20% - Accent5 2 2 3 2 3" xfId="19814" xr:uid="{89A2873B-4B08-4EF4-8803-47475F3D58ED}"/>
    <cellStyle name="20% - Accent5 2 2 3 2 4" xfId="11372" xr:uid="{FA74D810-81C1-40DE-8537-464FB4377E26}"/>
    <cellStyle name="20% - Accent5 2 2 3 3" xfId="4952" xr:uid="{00000000-0005-0000-0000-00009B020000}"/>
    <cellStyle name="20% - Accent5 2 2 3 3 2" xfId="21887" xr:uid="{0E77D49B-F5A2-480C-B5BA-15AA46B80652}"/>
    <cellStyle name="20% - Accent5 2 2 3 3 3" xfId="13446" xr:uid="{5EAF5974-DF98-4133-BD04-A741550AD1BA}"/>
    <cellStyle name="20% - Accent5 2 2 3 4" xfId="17669" xr:uid="{26B592AC-4678-451D-8088-E6B091110193}"/>
    <cellStyle name="20% - Accent5 2 2 3 5" xfId="9194" xr:uid="{99403366-9201-4657-80EB-F77374A04ED3}"/>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4445" xr:uid="{62F4DB49-7896-4C18-AA93-2F4E5CDB464D}"/>
    <cellStyle name="20% - Accent5 2 2 4 2 2 3" xfId="16004" xr:uid="{A67DBF46-7EB8-47E8-9952-15DD83898FC1}"/>
    <cellStyle name="20% - Accent5 2 2 4 2 3" xfId="20227" xr:uid="{937BD4BF-EF2B-4BE5-96EA-228BFCDCA70E}"/>
    <cellStyle name="20% - Accent5 2 2 4 2 4" xfId="11785" xr:uid="{A5B55294-F5A7-4D75-8C6D-F2DD3629D9B8}"/>
    <cellStyle name="20% - Accent5 2 2 4 3" xfId="5365" xr:uid="{00000000-0005-0000-0000-00009F020000}"/>
    <cellStyle name="20% - Accent5 2 2 4 3 2" xfId="22300" xr:uid="{D749A86C-7D2B-4AD6-B7C1-F4776FE20BCB}"/>
    <cellStyle name="20% - Accent5 2 2 4 3 3" xfId="13859" xr:uid="{5F3E029A-D99D-4394-B6AF-1E9ACCFAAF74}"/>
    <cellStyle name="20% - Accent5 2 2 4 4" xfId="18082" xr:uid="{78F97DC1-3F34-47EA-AB8B-C3EA0927EA3A}"/>
    <cellStyle name="20% - Accent5 2 2 4 5" xfId="9608" xr:uid="{FFA736D4-2652-46C1-854A-33B695DC7F8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4858" xr:uid="{C6907A18-6573-4FD0-9052-DBCAA4F5358B}"/>
    <cellStyle name="20% - Accent5 2 2 5 2 2 3" xfId="16417" xr:uid="{D89C3CD5-9D6F-4909-9418-77B86C940455}"/>
    <cellStyle name="20% - Accent5 2 2 5 2 3" xfId="20640" xr:uid="{A11CB393-BE19-485F-B2E8-75D92E98187A}"/>
    <cellStyle name="20% - Accent5 2 2 5 2 4" xfId="12198" xr:uid="{4F4E0839-4F95-4920-91E6-27E1E443AE74}"/>
    <cellStyle name="20% - Accent5 2 2 5 3" xfId="5778" xr:uid="{00000000-0005-0000-0000-0000A3020000}"/>
    <cellStyle name="20% - Accent5 2 2 5 3 2" xfId="22713" xr:uid="{0A6392E0-66DD-4913-8159-AC6D1036FEA9}"/>
    <cellStyle name="20% - Accent5 2 2 5 3 3" xfId="14272" xr:uid="{A8E67E92-7361-41B0-B21A-1AE77FDAF26B}"/>
    <cellStyle name="20% - Accent5 2 2 5 4" xfId="18495" xr:uid="{B57711D6-BC2C-40AB-9E9F-6D6F2B32CCA5}"/>
    <cellStyle name="20% - Accent5 2 2 5 5" xfId="10021" xr:uid="{BCA79179-F2D5-4CE8-8D16-1873B0B335E0}"/>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5271" xr:uid="{771E08F9-9E64-4B52-B80D-647B7B58F131}"/>
    <cellStyle name="20% - Accent5 2 2 6 2 2 3" xfId="16830" xr:uid="{69305043-1F21-4117-89C1-A7F057F07C46}"/>
    <cellStyle name="20% - Accent5 2 2 6 2 3" xfId="21053" xr:uid="{6EBA6A61-A095-4CF7-AD48-BB44172BCFC1}"/>
    <cellStyle name="20% - Accent5 2 2 6 2 4" xfId="12611" xr:uid="{E658A672-6EA4-45DA-9268-283D4AE9543C}"/>
    <cellStyle name="20% - Accent5 2 2 6 3" xfId="6191" xr:uid="{00000000-0005-0000-0000-0000A7020000}"/>
    <cellStyle name="20% - Accent5 2 2 6 3 2" xfId="23126" xr:uid="{00D1C6B5-2DC7-4E87-A0B3-B9EF9AF7CA7E}"/>
    <cellStyle name="20% - Accent5 2 2 6 3 3" xfId="14685" xr:uid="{12A84A7C-F1B9-4344-A79C-6152BAABC49F}"/>
    <cellStyle name="20% - Accent5 2 2 6 4" xfId="18908" xr:uid="{BBDB8CE8-9977-420D-90CB-7D74D12F5B00}"/>
    <cellStyle name="20% - Accent5 2 2 6 5" xfId="10434" xr:uid="{F9C518AF-0194-4D0D-8BA6-B2A80B884E3D}"/>
    <cellStyle name="20% - Accent5 2 2 7" xfId="2298" xr:uid="{00000000-0005-0000-0000-0000A8020000}"/>
    <cellStyle name="20% - Accent5 2 2 7 2" xfId="6604" xr:uid="{00000000-0005-0000-0000-0000A9020000}"/>
    <cellStyle name="20% - Accent5 2 2 7 2 2" xfId="23539" xr:uid="{D2499703-54AC-4217-8894-67E5673CA32C}"/>
    <cellStyle name="20% - Accent5 2 2 7 2 3" xfId="15098" xr:uid="{1421FEA1-6264-463F-8212-FE709F567AA7}"/>
    <cellStyle name="20% - Accent5 2 2 7 3" xfId="19321" xr:uid="{DE9AC25C-B770-41D7-B336-C5E0B2D65AF6}"/>
    <cellStyle name="20% - Accent5 2 2 7 4" xfId="10847" xr:uid="{B7B9DDF3-4628-48C1-B044-D523B6D000FA}"/>
    <cellStyle name="20% - Accent5 2 2 8" xfId="4538" xr:uid="{00000000-0005-0000-0000-0000AA020000}"/>
    <cellStyle name="20% - Accent5 2 2 8 2" xfId="21473" xr:uid="{776AA930-847A-4448-9FF5-6E10FD730099}"/>
    <cellStyle name="20% - Accent5 2 2 8 3" xfId="13032" xr:uid="{8510044F-298F-4B37-81C4-3B63A161877D}"/>
    <cellStyle name="20% - Accent5 2 2 9" xfId="17255" xr:uid="{8BC8EB7C-C92F-462D-9242-9AE679F0B11A}"/>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4034" xr:uid="{993E5A68-EC75-4D3D-89FB-F74831916FA0}"/>
    <cellStyle name="20% - Accent5 2 3 2 2 2 3" xfId="15593" xr:uid="{D8B36FD1-5956-47BB-91F8-E2ADE1FB9965}"/>
    <cellStyle name="20% - Accent5 2 3 2 2 3" xfId="19816" xr:uid="{B0E3130D-CFD6-4A92-A1A9-7869540F5DD3}"/>
    <cellStyle name="20% - Accent5 2 3 2 2 4" xfId="11374" xr:uid="{3A1D281C-A5E3-439E-BDF1-3480D95DD133}"/>
    <cellStyle name="20% - Accent5 2 3 2 3" xfId="4954" xr:uid="{00000000-0005-0000-0000-0000AF020000}"/>
    <cellStyle name="20% - Accent5 2 3 2 3 2" xfId="21889" xr:uid="{93E82B9F-D331-4BA5-A7AD-00953C06802E}"/>
    <cellStyle name="20% - Accent5 2 3 2 3 3" xfId="13448" xr:uid="{75D39BDF-7F6A-485A-AD1F-392E8826AD5A}"/>
    <cellStyle name="20% - Accent5 2 3 2 4" xfId="17671" xr:uid="{CA6E69F8-998D-4600-B049-B12C336C8025}"/>
    <cellStyle name="20% - Accent5 2 3 2 5" xfId="9196" xr:uid="{8700DC67-8CC2-44E1-A964-80ACC50117F0}"/>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4447" xr:uid="{BBF2BB86-C1FF-4367-B575-CF2892DF0CE4}"/>
    <cellStyle name="20% - Accent5 2 3 3 2 2 3" xfId="16006" xr:uid="{60C97F93-F412-490C-A21A-239BC10B7F8E}"/>
    <cellStyle name="20% - Accent5 2 3 3 2 3" xfId="20229" xr:uid="{734F6B49-7118-4E26-ABB4-B36845128394}"/>
    <cellStyle name="20% - Accent5 2 3 3 2 4" xfId="11787" xr:uid="{424FACE6-F24D-4DC4-BC7B-FD795EF1850B}"/>
    <cellStyle name="20% - Accent5 2 3 3 3" xfId="5367" xr:uid="{00000000-0005-0000-0000-0000B3020000}"/>
    <cellStyle name="20% - Accent5 2 3 3 3 2" xfId="22302" xr:uid="{76068073-785F-4E16-8A47-56FFF85F9B10}"/>
    <cellStyle name="20% - Accent5 2 3 3 3 3" xfId="13861" xr:uid="{19DBAF9E-A158-4FFC-9E94-A84F2D9D5521}"/>
    <cellStyle name="20% - Accent5 2 3 3 4" xfId="18084" xr:uid="{574C5DBD-D889-49C1-B0A8-FB806D25CAB1}"/>
    <cellStyle name="20% - Accent5 2 3 3 5" xfId="9610" xr:uid="{F0EDC954-92F6-4592-94E1-350D1D8D7865}"/>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4860" xr:uid="{DD93EF51-13AD-49D9-8904-FBDBFA0459C5}"/>
    <cellStyle name="20% - Accent5 2 3 4 2 2 3" xfId="16419" xr:uid="{EF9514DA-3104-4F30-895D-693C42EEBDFF}"/>
    <cellStyle name="20% - Accent5 2 3 4 2 3" xfId="20642" xr:uid="{B14EA702-EB86-46F0-91B8-884D01597EBD}"/>
    <cellStyle name="20% - Accent5 2 3 4 2 4" xfId="12200" xr:uid="{BAA430F8-8791-4CBA-A098-7EC9FC10FBD7}"/>
    <cellStyle name="20% - Accent5 2 3 4 3" xfId="5780" xr:uid="{00000000-0005-0000-0000-0000B7020000}"/>
    <cellStyle name="20% - Accent5 2 3 4 3 2" xfId="22715" xr:uid="{EC6FBDAE-166C-4B7C-8D1E-D78C38BC9456}"/>
    <cellStyle name="20% - Accent5 2 3 4 3 3" xfId="14274" xr:uid="{44C1AF98-143E-4B53-95BD-FE75B49649BF}"/>
    <cellStyle name="20% - Accent5 2 3 4 4" xfId="18497" xr:uid="{36FB6956-B8AA-4EF8-942B-F15AAF15D032}"/>
    <cellStyle name="20% - Accent5 2 3 4 5" xfId="10023" xr:uid="{B0D32ECE-26E7-4C4E-8083-1D45A7BFA10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5273" xr:uid="{C03C5D4E-EE14-4AE5-986A-E7AF03773287}"/>
    <cellStyle name="20% - Accent5 2 3 5 2 2 3" xfId="16832" xr:uid="{24BDB2C1-3D35-441E-84B9-13FEE06AD2C4}"/>
    <cellStyle name="20% - Accent5 2 3 5 2 3" xfId="21055" xr:uid="{5D104A64-5EF1-4DE0-8E4D-6EED4FE1B197}"/>
    <cellStyle name="20% - Accent5 2 3 5 2 4" xfId="12613" xr:uid="{D4D7DBAF-7ED0-4FCB-A513-159FAAD99571}"/>
    <cellStyle name="20% - Accent5 2 3 5 3" xfId="6193" xr:uid="{00000000-0005-0000-0000-0000BB020000}"/>
    <cellStyle name="20% - Accent5 2 3 5 3 2" xfId="23128" xr:uid="{72F36DF0-5A26-4077-9CB4-325D151B35E3}"/>
    <cellStyle name="20% - Accent5 2 3 5 3 3" xfId="14687" xr:uid="{DBD70D0B-74C4-4F09-B6B0-0E2F2DF5E402}"/>
    <cellStyle name="20% - Accent5 2 3 5 4" xfId="18910" xr:uid="{C4193F1D-8FED-41E3-BBAF-D264F6D630BA}"/>
    <cellStyle name="20% - Accent5 2 3 5 5" xfId="10436" xr:uid="{985A83EE-9673-4344-9AE0-550C9FD0056F}"/>
    <cellStyle name="20% - Accent5 2 3 6" xfId="2300" xr:uid="{00000000-0005-0000-0000-0000BC020000}"/>
    <cellStyle name="20% - Accent5 2 3 6 2" xfId="6606" xr:uid="{00000000-0005-0000-0000-0000BD020000}"/>
    <cellStyle name="20% - Accent5 2 3 6 2 2" xfId="23541" xr:uid="{69127B7E-59F6-4539-AD64-D871866B4104}"/>
    <cellStyle name="20% - Accent5 2 3 6 2 3" xfId="15100" xr:uid="{A8D22C75-530D-48FA-AA1E-1DD574F1CA6D}"/>
    <cellStyle name="20% - Accent5 2 3 6 3" xfId="19323" xr:uid="{21569C24-C3EB-4D86-A669-4DD75A74A87E}"/>
    <cellStyle name="20% - Accent5 2 3 6 4" xfId="10849" xr:uid="{34955B8E-3D5C-44AC-8B09-25E107FFCE3F}"/>
    <cellStyle name="20% - Accent5 2 3 7" xfId="4540" xr:uid="{00000000-0005-0000-0000-0000BE020000}"/>
    <cellStyle name="20% - Accent5 2 3 7 2" xfId="21475" xr:uid="{B4176E08-3E71-4B12-B72F-A56D249605C5}"/>
    <cellStyle name="20% - Accent5 2 3 7 3" xfId="13034" xr:uid="{C0D3EBAD-4C04-4127-9A00-2D3693CCC05A}"/>
    <cellStyle name="20% - Accent5 2 3 8" xfId="17257" xr:uid="{D5478183-DD8D-4E12-A5C1-F32712D7AE11}"/>
    <cellStyle name="20% - Accent5 2 3 9" xfId="8772" xr:uid="{C8C158CB-FACC-411B-8769-4486DB96A05F}"/>
    <cellStyle name="20% - Accent5 2 4" xfId="603" xr:uid="{00000000-0005-0000-0000-0000BF020000}"/>
    <cellStyle name="20% - Accent5 2 4 2" xfId="2874" xr:uid="{00000000-0005-0000-0000-0000C0020000}"/>
    <cellStyle name="20% - Accent5 2 4 2 2" xfId="7096" xr:uid="{00000000-0005-0000-0000-0000C1020000}"/>
    <cellStyle name="20% - Accent5 2 4 2 2 2" xfId="24031" xr:uid="{88B1EBDD-C146-4603-8384-34ECF4AAA42C}"/>
    <cellStyle name="20% - Accent5 2 4 2 2 3" xfId="15590" xr:uid="{B6FF1DFE-2885-4F24-84CC-58B69ED3B21E}"/>
    <cellStyle name="20% - Accent5 2 4 2 3" xfId="19813" xr:uid="{976E3016-D0DC-4135-B3F8-98943FBF9529}"/>
    <cellStyle name="20% - Accent5 2 4 2 4" xfId="11371" xr:uid="{E93ABE00-3749-43E2-B482-30009CD2B30B}"/>
    <cellStyle name="20% - Accent5 2 4 3" xfId="4951" xr:uid="{00000000-0005-0000-0000-0000C2020000}"/>
    <cellStyle name="20% - Accent5 2 4 3 2" xfId="21886" xr:uid="{7B7BF5F6-D8D5-4F8B-8C92-BA68CD7BE40D}"/>
    <cellStyle name="20% - Accent5 2 4 3 3" xfId="13445" xr:uid="{7B26597E-CA5D-4B70-8555-500D1F98BE85}"/>
    <cellStyle name="20% - Accent5 2 4 4" xfId="17668" xr:uid="{6231BF8E-F0A4-4985-9C57-2A4F2D417EE4}"/>
    <cellStyle name="20% - Accent5 2 4 5" xfId="9193" xr:uid="{BA450FD3-D4FF-4CE1-9D83-DF38DE7ABB67}"/>
    <cellStyle name="20% - Accent5 2 5" xfId="1056" xr:uid="{00000000-0005-0000-0000-0000C3020000}"/>
    <cellStyle name="20% - Accent5 2 5 2" xfId="3287" xr:uid="{00000000-0005-0000-0000-0000C4020000}"/>
    <cellStyle name="20% - Accent5 2 5 2 2" xfId="7509" xr:uid="{00000000-0005-0000-0000-0000C5020000}"/>
    <cellStyle name="20% - Accent5 2 5 2 2 2" xfId="24444" xr:uid="{60151731-4F13-45D4-9573-78287F88772C}"/>
    <cellStyle name="20% - Accent5 2 5 2 2 3" xfId="16003" xr:uid="{1490EBB4-6360-40CF-90E2-828887A3139D}"/>
    <cellStyle name="20% - Accent5 2 5 2 3" xfId="20226" xr:uid="{826CAE58-3E2C-48B8-B273-EDC35C698EDD}"/>
    <cellStyle name="20% - Accent5 2 5 2 4" xfId="11784" xr:uid="{D1336EF6-9640-4F44-9AD2-7C59EF9C0A6E}"/>
    <cellStyle name="20% - Accent5 2 5 3" xfId="5364" xr:uid="{00000000-0005-0000-0000-0000C6020000}"/>
    <cellStyle name="20% - Accent5 2 5 3 2" xfId="22299" xr:uid="{E6E6E096-B995-4A5D-897F-97B634D418BD}"/>
    <cellStyle name="20% - Accent5 2 5 3 3" xfId="13858" xr:uid="{4A1C83AA-0A3F-44E9-BFD1-BB91D786EEDF}"/>
    <cellStyle name="20% - Accent5 2 5 4" xfId="18081" xr:uid="{8E249A3D-F00E-44CD-86A4-320108694784}"/>
    <cellStyle name="20% - Accent5 2 5 5" xfId="9607" xr:uid="{CDD90259-CA33-4C8A-9BF4-2B8E64471A10}"/>
    <cellStyle name="20% - Accent5 2 6" xfId="1470" xr:uid="{00000000-0005-0000-0000-0000C7020000}"/>
    <cellStyle name="20% - Accent5 2 6 2" xfId="3700" xr:uid="{00000000-0005-0000-0000-0000C8020000}"/>
    <cellStyle name="20% - Accent5 2 6 2 2" xfId="7922" xr:uid="{00000000-0005-0000-0000-0000C9020000}"/>
    <cellStyle name="20% - Accent5 2 6 2 2 2" xfId="24857" xr:uid="{AF5B2ABB-B3A5-4784-BA69-DD1E03C06A82}"/>
    <cellStyle name="20% - Accent5 2 6 2 2 3" xfId="16416" xr:uid="{C1DA1C7C-AD98-49E1-9158-8510C2E33682}"/>
    <cellStyle name="20% - Accent5 2 6 2 3" xfId="20639" xr:uid="{023125D6-BA03-4F5E-94A6-28CA42EFA8B3}"/>
    <cellStyle name="20% - Accent5 2 6 2 4" xfId="12197" xr:uid="{C9CF9F2B-5641-488B-9593-58FFB6B86B0D}"/>
    <cellStyle name="20% - Accent5 2 6 3" xfId="5777" xr:uid="{00000000-0005-0000-0000-0000CA020000}"/>
    <cellStyle name="20% - Accent5 2 6 3 2" xfId="22712" xr:uid="{65378BD6-2CB5-47C8-B17A-FC347C264207}"/>
    <cellStyle name="20% - Accent5 2 6 3 3" xfId="14271" xr:uid="{3CF1899F-BFE3-42AD-B24D-0A7893D857AE}"/>
    <cellStyle name="20% - Accent5 2 6 4" xfId="18494" xr:uid="{B55FD386-9E5C-47D6-BE7D-3DA3C9222BD7}"/>
    <cellStyle name="20% - Accent5 2 6 5" xfId="10020" xr:uid="{68DEB637-08C2-4B44-B876-52CC609B932A}"/>
    <cellStyle name="20% - Accent5 2 7" xfId="1884" xr:uid="{00000000-0005-0000-0000-0000CB020000}"/>
    <cellStyle name="20% - Accent5 2 7 2" xfId="4113" xr:uid="{00000000-0005-0000-0000-0000CC020000}"/>
    <cellStyle name="20% - Accent5 2 7 2 2" xfId="8335" xr:uid="{00000000-0005-0000-0000-0000CD020000}"/>
    <cellStyle name="20% - Accent5 2 7 2 2 2" xfId="25270" xr:uid="{CB884A47-CC82-4B25-ABD2-DF549965BC19}"/>
    <cellStyle name="20% - Accent5 2 7 2 2 3" xfId="16829" xr:uid="{7EC79913-7D0C-4CEE-A484-E5BCD24A0C81}"/>
    <cellStyle name="20% - Accent5 2 7 2 3" xfId="21052" xr:uid="{93AAC2A8-6E0A-4716-9258-F9609E58C46B}"/>
    <cellStyle name="20% - Accent5 2 7 2 4" xfId="12610" xr:uid="{D00A5075-18AD-4A6D-AD36-C60D684EBDC5}"/>
    <cellStyle name="20% - Accent5 2 7 3" xfId="6190" xr:uid="{00000000-0005-0000-0000-0000CE020000}"/>
    <cellStyle name="20% - Accent5 2 7 3 2" xfId="23125" xr:uid="{0BE63957-971B-443D-9F19-4FCEB8ECC76C}"/>
    <cellStyle name="20% - Accent5 2 7 3 3" xfId="14684" xr:uid="{069E2E55-C81C-41EE-BDCC-B7E1B400E8B6}"/>
    <cellStyle name="20% - Accent5 2 7 4" xfId="18907" xr:uid="{93F9B824-167F-481A-B05D-5C8FBCBC188D}"/>
    <cellStyle name="20% - Accent5 2 7 5" xfId="10433" xr:uid="{A255B9D3-3B4D-4BA6-BBFC-61ED56D2FA92}"/>
    <cellStyle name="20% - Accent5 2 8" xfId="2297" xr:uid="{00000000-0005-0000-0000-0000CF020000}"/>
    <cellStyle name="20% - Accent5 2 8 2" xfId="6603" xr:uid="{00000000-0005-0000-0000-0000D0020000}"/>
    <cellStyle name="20% - Accent5 2 8 2 2" xfId="23538" xr:uid="{68FA7897-FA69-4C7A-BB04-F450E4F3C04A}"/>
    <cellStyle name="20% - Accent5 2 8 2 3" xfId="15097" xr:uid="{69472CB4-9923-45DD-8C8F-E7F4BFF2AD2F}"/>
    <cellStyle name="20% - Accent5 2 8 3" xfId="19320" xr:uid="{C0BD6167-C051-433E-B2E2-33562D2545EA}"/>
    <cellStyle name="20% - Accent5 2 8 4" xfId="10846" xr:uid="{9AFBD85F-A396-4A93-A192-278A27A85CE8}"/>
    <cellStyle name="20% - Accent5 2 9" xfId="4537" xr:uid="{00000000-0005-0000-0000-0000D1020000}"/>
    <cellStyle name="20% - Accent5 2 9 2" xfId="21472" xr:uid="{80F54848-D466-499E-8003-C3E513DE7068}"/>
    <cellStyle name="20% - Accent5 2 9 3" xfId="13031" xr:uid="{D9A8E59B-C181-4DDE-9CD4-ECB8870C1E97}"/>
    <cellStyle name="20% - Accent5 3" xfId="38" xr:uid="{00000000-0005-0000-0000-0000D2020000}"/>
    <cellStyle name="20% - Accent5 3 10" xfId="8773" xr:uid="{B149E5D4-9ADE-424D-9D51-7254C734FB97}"/>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4036" xr:uid="{CCF936C7-408C-4F7D-BCA1-4BECE79189B2}"/>
    <cellStyle name="20% - Accent5 3 2 2 2 2 3" xfId="15595" xr:uid="{19586B3C-B861-4D1C-84F2-C99C2B904416}"/>
    <cellStyle name="20% - Accent5 3 2 2 2 3" xfId="19818" xr:uid="{0F7D76BA-985C-4DA5-B1CD-616EE2CE89DC}"/>
    <cellStyle name="20% - Accent5 3 2 2 2 4" xfId="11376" xr:uid="{D0008204-DF62-491E-BBA1-4F4762561994}"/>
    <cellStyle name="20% - Accent5 3 2 2 3" xfId="4956" xr:uid="{00000000-0005-0000-0000-0000D7020000}"/>
    <cellStyle name="20% - Accent5 3 2 2 3 2" xfId="21891" xr:uid="{28EF6710-1A4A-4CDC-824B-9FB6C4861EAB}"/>
    <cellStyle name="20% - Accent5 3 2 2 3 3" xfId="13450" xr:uid="{FA5E47B3-5ADC-4760-9DD0-F85806B1859F}"/>
    <cellStyle name="20% - Accent5 3 2 2 4" xfId="17673" xr:uid="{77CB111F-B049-4840-B34C-F9098D0DD6F2}"/>
    <cellStyle name="20% - Accent5 3 2 2 5" xfId="9198" xr:uid="{3EC2BE0C-9A7E-4DF2-8847-68E85C5104FB}"/>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4449" xr:uid="{FC483BC5-E8EC-4533-B6F5-70D6D3FDFE37}"/>
    <cellStyle name="20% - Accent5 3 2 3 2 2 3" xfId="16008" xr:uid="{922EBA95-D7F3-44FC-917B-681234C122F8}"/>
    <cellStyle name="20% - Accent5 3 2 3 2 3" xfId="20231" xr:uid="{01BA15A5-B5EE-4644-ADEC-E2CFAE77EB6B}"/>
    <cellStyle name="20% - Accent5 3 2 3 2 4" xfId="11789" xr:uid="{99105678-5BF9-4B93-A32E-B292662C4749}"/>
    <cellStyle name="20% - Accent5 3 2 3 3" xfId="5369" xr:uid="{00000000-0005-0000-0000-0000DB020000}"/>
    <cellStyle name="20% - Accent5 3 2 3 3 2" xfId="22304" xr:uid="{7884606A-A972-4953-A476-207789953EF0}"/>
    <cellStyle name="20% - Accent5 3 2 3 3 3" xfId="13863" xr:uid="{E0C433BD-9165-44BD-BC44-EFFB23489338}"/>
    <cellStyle name="20% - Accent5 3 2 3 4" xfId="18086" xr:uid="{71F9A46B-2CE9-4AB8-AD8D-36871619F95D}"/>
    <cellStyle name="20% - Accent5 3 2 3 5" xfId="9612" xr:uid="{3080F3D8-3B31-4517-AEA4-56CBB2B6B19F}"/>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4862" xr:uid="{3069A926-EC0A-469F-9299-5330DD824021}"/>
    <cellStyle name="20% - Accent5 3 2 4 2 2 3" xfId="16421" xr:uid="{6830F5AF-B943-40A6-B77A-366AC3DE7606}"/>
    <cellStyle name="20% - Accent5 3 2 4 2 3" xfId="20644" xr:uid="{4755D82D-119B-4456-A54E-779AD1B8B4A9}"/>
    <cellStyle name="20% - Accent5 3 2 4 2 4" xfId="12202" xr:uid="{E3884E71-ED18-4E25-8539-03D381DE1930}"/>
    <cellStyle name="20% - Accent5 3 2 4 3" xfId="5782" xr:uid="{00000000-0005-0000-0000-0000DF020000}"/>
    <cellStyle name="20% - Accent5 3 2 4 3 2" xfId="22717" xr:uid="{D450855E-81CB-4139-BE93-9EF082ECD24E}"/>
    <cellStyle name="20% - Accent5 3 2 4 3 3" xfId="14276" xr:uid="{5CD18690-805D-41E7-9B30-C03DBD9A4090}"/>
    <cellStyle name="20% - Accent5 3 2 4 4" xfId="18499" xr:uid="{A836C955-17F5-4D42-A192-641762116262}"/>
    <cellStyle name="20% - Accent5 3 2 4 5" xfId="10025" xr:uid="{73CC2CA9-E661-4B3C-B3AF-EB26CBA86FAF}"/>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5275" xr:uid="{50E613DA-10A8-4409-81ED-86212EBFD442}"/>
    <cellStyle name="20% - Accent5 3 2 5 2 2 3" xfId="16834" xr:uid="{DFAAEDEF-8809-4D8E-8B66-CDC46835607F}"/>
    <cellStyle name="20% - Accent5 3 2 5 2 3" xfId="21057" xr:uid="{9E5E5991-13B7-4753-91A7-F1E572B27630}"/>
    <cellStyle name="20% - Accent5 3 2 5 2 4" xfId="12615" xr:uid="{DC6A5B60-58A0-489F-B89C-546FFF629E90}"/>
    <cellStyle name="20% - Accent5 3 2 5 3" xfId="6195" xr:uid="{00000000-0005-0000-0000-0000E3020000}"/>
    <cellStyle name="20% - Accent5 3 2 5 3 2" xfId="23130" xr:uid="{074F60B0-8E4D-4A99-94BF-BC7B805BF855}"/>
    <cellStyle name="20% - Accent5 3 2 5 3 3" xfId="14689" xr:uid="{48C0969A-CEF4-4999-967E-DFF957448702}"/>
    <cellStyle name="20% - Accent5 3 2 5 4" xfId="18912" xr:uid="{5E5B6E5D-4155-428E-8E4A-705305F93CB8}"/>
    <cellStyle name="20% - Accent5 3 2 5 5" xfId="10438" xr:uid="{EFE21A4C-9F85-4504-99CE-7390F9840E3C}"/>
    <cellStyle name="20% - Accent5 3 2 6" xfId="2302" xr:uid="{00000000-0005-0000-0000-0000E4020000}"/>
    <cellStyle name="20% - Accent5 3 2 6 2" xfId="6608" xr:uid="{00000000-0005-0000-0000-0000E5020000}"/>
    <cellStyle name="20% - Accent5 3 2 6 2 2" xfId="23543" xr:uid="{31ECB72E-A4B7-4370-A589-069B54F287AD}"/>
    <cellStyle name="20% - Accent5 3 2 6 2 3" xfId="15102" xr:uid="{F2266CBB-5EC4-436F-9BBF-4CB662E1312A}"/>
    <cellStyle name="20% - Accent5 3 2 6 3" xfId="19325" xr:uid="{C3EA6A93-C4B6-4583-9271-F3B10E5A4DB3}"/>
    <cellStyle name="20% - Accent5 3 2 6 4" xfId="10851" xr:uid="{B734988F-343C-4116-9AF1-3BF61714EC10}"/>
    <cellStyle name="20% - Accent5 3 2 7" xfId="4542" xr:uid="{00000000-0005-0000-0000-0000E6020000}"/>
    <cellStyle name="20% - Accent5 3 2 7 2" xfId="21477" xr:uid="{9525ABD1-84EC-469E-8BAB-FC524A23F0D2}"/>
    <cellStyle name="20% - Accent5 3 2 7 3" xfId="13036" xr:uid="{25501A96-4DA6-4E27-88CB-CC702621856B}"/>
    <cellStyle name="20% - Accent5 3 2 8" xfId="17259" xr:uid="{63AE7947-F4FB-4605-9DDD-FE4C9A1414AE}"/>
    <cellStyle name="20% - Accent5 3 2 9" xfId="8774" xr:uid="{2BDB5C29-7CDF-41F7-B0B2-D0F85E1944BD}"/>
    <cellStyle name="20% - Accent5 3 3" xfId="607" xr:uid="{00000000-0005-0000-0000-0000E7020000}"/>
    <cellStyle name="20% - Accent5 3 3 2" xfId="2878" xr:uid="{00000000-0005-0000-0000-0000E8020000}"/>
    <cellStyle name="20% - Accent5 3 3 2 2" xfId="7100" xr:uid="{00000000-0005-0000-0000-0000E9020000}"/>
    <cellStyle name="20% - Accent5 3 3 2 2 2" xfId="24035" xr:uid="{5B1D8193-27DB-4004-8914-6943BCE83628}"/>
    <cellStyle name="20% - Accent5 3 3 2 2 3" xfId="15594" xr:uid="{F1AE77D4-8CF3-40BB-A4E8-060753320337}"/>
    <cellStyle name="20% - Accent5 3 3 2 3" xfId="19817" xr:uid="{F0B476E6-6EE8-497B-9C21-A9B5EDAB0933}"/>
    <cellStyle name="20% - Accent5 3 3 2 4" xfId="11375" xr:uid="{30C9F176-D753-4EC6-AD2B-D7C41D423013}"/>
    <cellStyle name="20% - Accent5 3 3 3" xfId="4955" xr:uid="{00000000-0005-0000-0000-0000EA020000}"/>
    <cellStyle name="20% - Accent5 3 3 3 2" xfId="21890" xr:uid="{FCC35047-D6DA-41CE-B672-20855C7ED4F3}"/>
    <cellStyle name="20% - Accent5 3 3 3 3" xfId="13449" xr:uid="{0A0F3417-E2C4-4A62-9F3D-0E54945F603D}"/>
    <cellStyle name="20% - Accent5 3 3 4" xfId="17672" xr:uid="{9843133C-4E20-4137-979D-3E66FE0B37F3}"/>
    <cellStyle name="20% - Accent5 3 3 5" xfId="9197" xr:uid="{83B96A91-D96D-40DF-B7D2-455C4CAC893F}"/>
    <cellStyle name="20% - Accent5 3 4" xfId="1060" xr:uid="{00000000-0005-0000-0000-0000EB020000}"/>
    <cellStyle name="20% - Accent5 3 4 2" xfId="3291" xr:uid="{00000000-0005-0000-0000-0000EC020000}"/>
    <cellStyle name="20% - Accent5 3 4 2 2" xfId="7513" xr:uid="{00000000-0005-0000-0000-0000ED020000}"/>
    <cellStyle name="20% - Accent5 3 4 2 2 2" xfId="24448" xr:uid="{41974463-A9D8-4130-958E-CA4157684179}"/>
    <cellStyle name="20% - Accent5 3 4 2 2 3" xfId="16007" xr:uid="{1156F39B-DDF8-4A37-98A7-EBCDF6C88CD3}"/>
    <cellStyle name="20% - Accent5 3 4 2 3" xfId="20230" xr:uid="{DBEE2588-3C78-48B3-9991-420A4393A8C3}"/>
    <cellStyle name="20% - Accent5 3 4 2 4" xfId="11788" xr:uid="{00E18326-29EE-4060-B210-0837A4E890DE}"/>
    <cellStyle name="20% - Accent5 3 4 3" xfId="5368" xr:uid="{00000000-0005-0000-0000-0000EE020000}"/>
    <cellStyle name="20% - Accent5 3 4 3 2" xfId="22303" xr:uid="{D62710DB-03BA-4B72-9D21-FF1FBB7B4C44}"/>
    <cellStyle name="20% - Accent5 3 4 3 3" xfId="13862" xr:uid="{EE872621-FD45-4DC2-A0EC-EC44EED90D8A}"/>
    <cellStyle name="20% - Accent5 3 4 4" xfId="18085" xr:uid="{FAB8ED0D-EA52-4743-A080-96EB0602A262}"/>
    <cellStyle name="20% - Accent5 3 4 5" xfId="9611" xr:uid="{6F2E1502-4452-43CE-BCC3-924127412A9A}"/>
    <cellStyle name="20% - Accent5 3 5" xfId="1474" xr:uid="{00000000-0005-0000-0000-0000EF020000}"/>
    <cellStyle name="20% - Accent5 3 5 2" xfId="3704" xr:uid="{00000000-0005-0000-0000-0000F0020000}"/>
    <cellStyle name="20% - Accent5 3 5 2 2" xfId="7926" xr:uid="{00000000-0005-0000-0000-0000F1020000}"/>
    <cellStyle name="20% - Accent5 3 5 2 2 2" xfId="24861" xr:uid="{F1C20826-6789-492A-B41E-9EBF8721555B}"/>
    <cellStyle name="20% - Accent5 3 5 2 2 3" xfId="16420" xr:uid="{3F6B2BEB-07D1-4C87-9F2F-791B28CFEFB9}"/>
    <cellStyle name="20% - Accent5 3 5 2 3" xfId="20643" xr:uid="{64B83A96-26E4-462C-BEC8-DA8602342477}"/>
    <cellStyle name="20% - Accent5 3 5 2 4" xfId="12201" xr:uid="{B3C511A5-10DA-47ED-BA69-265D586A91B0}"/>
    <cellStyle name="20% - Accent5 3 5 3" xfId="5781" xr:uid="{00000000-0005-0000-0000-0000F2020000}"/>
    <cellStyle name="20% - Accent5 3 5 3 2" xfId="22716" xr:uid="{EAA10B44-FDE0-459C-AB22-93AC2E9824A0}"/>
    <cellStyle name="20% - Accent5 3 5 3 3" xfId="14275" xr:uid="{E8908EA5-4496-4ACC-8F6F-B3F897D05DA9}"/>
    <cellStyle name="20% - Accent5 3 5 4" xfId="18498" xr:uid="{2D992F55-7481-4777-9D8B-41D6279E1A48}"/>
    <cellStyle name="20% - Accent5 3 5 5" xfId="10024" xr:uid="{06F26698-5885-4680-9358-F11F5D19D031}"/>
    <cellStyle name="20% - Accent5 3 6" xfId="1888" xr:uid="{00000000-0005-0000-0000-0000F3020000}"/>
    <cellStyle name="20% - Accent5 3 6 2" xfId="4117" xr:uid="{00000000-0005-0000-0000-0000F4020000}"/>
    <cellStyle name="20% - Accent5 3 6 2 2" xfId="8339" xr:uid="{00000000-0005-0000-0000-0000F5020000}"/>
    <cellStyle name="20% - Accent5 3 6 2 2 2" xfId="25274" xr:uid="{04E89D52-4B9A-49A6-B5C8-8E1901C96278}"/>
    <cellStyle name="20% - Accent5 3 6 2 2 3" xfId="16833" xr:uid="{171421DA-7045-480A-A17B-B97A41DBE51D}"/>
    <cellStyle name="20% - Accent5 3 6 2 3" xfId="21056" xr:uid="{7BFE8822-4621-4929-AA48-BE0509FE357A}"/>
    <cellStyle name="20% - Accent5 3 6 2 4" xfId="12614" xr:uid="{7D621086-8D53-4910-A0F0-CB759D1BA2EA}"/>
    <cellStyle name="20% - Accent5 3 6 3" xfId="6194" xr:uid="{00000000-0005-0000-0000-0000F6020000}"/>
    <cellStyle name="20% - Accent5 3 6 3 2" xfId="23129" xr:uid="{0A10FFE2-BD2B-440B-BBAB-CBFD1CE29865}"/>
    <cellStyle name="20% - Accent5 3 6 3 3" xfId="14688" xr:uid="{883DB215-FAFA-42C2-AFA9-917568BFC0C6}"/>
    <cellStyle name="20% - Accent5 3 6 4" xfId="18911" xr:uid="{702BDE24-E8FB-4F45-8C1B-BB12BFD2483D}"/>
    <cellStyle name="20% - Accent5 3 6 5" xfId="10437" xr:uid="{B925CA66-E74B-4AFA-A17D-4FA855C0E0B8}"/>
    <cellStyle name="20% - Accent5 3 7" xfId="2301" xr:uid="{00000000-0005-0000-0000-0000F7020000}"/>
    <cellStyle name="20% - Accent5 3 7 2" xfId="6607" xr:uid="{00000000-0005-0000-0000-0000F8020000}"/>
    <cellStyle name="20% - Accent5 3 7 2 2" xfId="23542" xr:uid="{97E55001-F123-4830-B3EA-8FE5941DFB49}"/>
    <cellStyle name="20% - Accent5 3 7 2 3" xfId="15101" xr:uid="{033CF5A7-D198-4CB8-A983-BF9BC8D76991}"/>
    <cellStyle name="20% - Accent5 3 7 3" xfId="19324" xr:uid="{DAB84B8F-01FE-4C64-BAC0-32BA3DD1329E}"/>
    <cellStyle name="20% - Accent5 3 7 4" xfId="10850" xr:uid="{53FE0DE7-7404-4FEF-87B0-57BC1786BA04}"/>
    <cellStyle name="20% - Accent5 3 8" xfId="4541" xr:uid="{00000000-0005-0000-0000-0000F9020000}"/>
    <cellStyle name="20% - Accent5 3 8 2" xfId="21476" xr:uid="{69FB730B-4AD4-43CA-98B8-005CC4B15545}"/>
    <cellStyle name="20% - Accent5 3 8 3" xfId="13035" xr:uid="{FA67EC1A-386E-47F8-973C-984924C5AFAA}"/>
    <cellStyle name="20% - Accent5 3 9" xfId="17258" xr:uid="{0C711A45-B870-45D1-BD5C-39AF52656466}"/>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24037" xr:uid="{9D470DBD-47F6-4DC6-9F1B-2BC9F80B772B}"/>
    <cellStyle name="20% - Accent5 4 2 2 2 3" xfId="15596" xr:uid="{531E2257-764D-4572-BA66-A16BDF816E98}"/>
    <cellStyle name="20% - Accent5 4 2 2 3" xfId="19819" xr:uid="{988DCF7D-4D1D-43D3-B8BE-9E3E3744BB6E}"/>
    <cellStyle name="20% - Accent5 4 2 2 4" xfId="11377" xr:uid="{F320B885-1F39-4ECB-BE31-0B86866E0647}"/>
    <cellStyle name="20% - Accent5 4 2 3" xfId="4957" xr:uid="{00000000-0005-0000-0000-0000FE020000}"/>
    <cellStyle name="20% - Accent5 4 2 3 2" xfId="21892" xr:uid="{A13962FC-4167-462C-A8CB-36BA6C2E7D65}"/>
    <cellStyle name="20% - Accent5 4 2 3 3" xfId="13451" xr:uid="{000927DC-53CC-48B0-94B1-DBD86A56BC15}"/>
    <cellStyle name="20% - Accent5 4 2 4" xfId="17674" xr:uid="{F7F2C12B-50BE-4BE7-8666-603855CA8BAE}"/>
    <cellStyle name="20% - Accent5 4 2 5" xfId="9199" xr:uid="{E46C1C5C-1C8F-4765-A5F7-0D277E1CCAB9}"/>
    <cellStyle name="20% - Accent5 4 3" xfId="1062" xr:uid="{00000000-0005-0000-0000-0000FF020000}"/>
    <cellStyle name="20% - Accent5 4 3 2" xfId="3293" xr:uid="{00000000-0005-0000-0000-000000030000}"/>
    <cellStyle name="20% - Accent5 4 3 2 2" xfId="7515" xr:uid="{00000000-0005-0000-0000-000001030000}"/>
    <cellStyle name="20% - Accent5 4 3 2 2 2" xfId="24450" xr:uid="{8E186124-7EF8-43DD-82A1-2FC406EBB965}"/>
    <cellStyle name="20% - Accent5 4 3 2 2 3" xfId="16009" xr:uid="{A4C13175-695E-48FE-BE10-34981461ACA9}"/>
    <cellStyle name="20% - Accent5 4 3 2 3" xfId="20232" xr:uid="{39B45232-82E7-4ABC-9C80-889673FEC1B1}"/>
    <cellStyle name="20% - Accent5 4 3 2 4" xfId="11790" xr:uid="{11643589-31DF-41E6-BD6A-09EDF1420881}"/>
    <cellStyle name="20% - Accent5 4 3 3" xfId="5370" xr:uid="{00000000-0005-0000-0000-000002030000}"/>
    <cellStyle name="20% - Accent5 4 3 3 2" xfId="22305" xr:uid="{1BA744C8-E179-4272-B88F-1CA2A0236A98}"/>
    <cellStyle name="20% - Accent5 4 3 3 3" xfId="13864" xr:uid="{22D8B430-4305-4606-AFA0-730790996B96}"/>
    <cellStyle name="20% - Accent5 4 3 4" xfId="18087" xr:uid="{F5CC2E0A-C890-4B41-A8F9-81FF33D8D11A}"/>
    <cellStyle name="20% - Accent5 4 3 5" xfId="9613" xr:uid="{E3CD457C-1287-4510-9D6E-9BEC8E3FF08F}"/>
    <cellStyle name="20% - Accent5 4 4" xfId="1476" xr:uid="{00000000-0005-0000-0000-000003030000}"/>
    <cellStyle name="20% - Accent5 4 4 2" xfId="3706" xr:uid="{00000000-0005-0000-0000-000004030000}"/>
    <cellStyle name="20% - Accent5 4 4 2 2" xfId="7928" xr:uid="{00000000-0005-0000-0000-000005030000}"/>
    <cellStyle name="20% - Accent5 4 4 2 2 2" xfId="24863" xr:uid="{86F6141C-1D63-4F51-AE79-CB3C1199791C}"/>
    <cellStyle name="20% - Accent5 4 4 2 2 3" xfId="16422" xr:uid="{7DAB27F6-80C2-4C4E-BB86-C939F2E4F899}"/>
    <cellStyle name="20% - Accent5 4 4 2 3" xfId="20645" xr:uid="{05F1EC68-98AA-4555-9F55-B3B288459EFD}"/>
    <cellStyle name="20% - Accent5 4 4 2 4" xfId="12203" xr:uid="{AA5C4077-BD31-49CB-9FD5-82797003D8F0}"/>
    <cellStyle name="20% - Accent5 4 4 3" xfId="5783" xr:uid="{00000000-0005-0000-0000-000006030000}"/>
    <cellStyle name="20% - Accent5 4 4 3 2" xfId="22718" xr:uid="{3D67EFD4-13C2-4A09-A16C-FEA2DEDEF007}"/>
    <cellStyle name="20% - Accent5 4 4 3 3" xfId="14277" xr:uid="{36B78B1F-3AD3-487D-9205-EF5E5EC2B6CB}"/>
    <cellStyle name="20% - Accent5 4 4 4" xfId="18500" xr:uid="{9FB74563-DA6E-487C-B6A2-4A4903AE3C0D}"/>
    <cellStyle name="20% - Accent5 4 4 5" xfId="10026" xr:uid="{7AA4BBB0-28BE-4309-8847-FF97897BCDA3}"/>
    <cellStyle name="20% - Accent5 4 5" xfId="1890" xr:uid="{00000000-0005-0000-0000-000007030000}"/>
    <cellStyle name="20% - Accent5 4 5 2" xfId="4119" xr:uid="{00000000-0005-0000-0000-000008030000}"/>
    <cellStyle name="20% - Accent5 4 5 2 2" xfId="8341" xr:uid="{00000000-0005-0000-0000-000009030000}"/>
    <cellStyle name="20% - Accent5 4 5 2 2 2" xfId="25276" xr:uid="{22978544-B6D2-4733-A91B-D6DE00F4401E}"/>
    <cellStyle name="20% - Accent5 4 5 2 2 3" xfId="16835" xr:uid="{E678F88D-7E3D-4499-B537-41AED3ED638E}"/>
    <cellStyle name="20% - Accent5 4 5 2 3" xfId="21058" xr:uid="{B04B2153-CF46-4F27-80F9-2418B871B1D9}"/>
    <cellStyle name="20% - Accent5 4 5 2 4" xfId="12616" xr:uid="{35F2866E-186A-491F-966B-67E337F59E3B}"/>
    <cellStyle name="20% - Accent5 4 5 3" xfId="6196" xr:uid="{00000000-0005-0000-0000-00000A030000}"/>
    <cellStyle name="20% - Accent5 4 5 3 2" xfId="23131" xr:uid="{AE765A34-00AB-4E76-B631-83F849AB9D8B}"/>
    <cellStyle name="20% - Accent5 4 5 3 3" xfId="14690" xr:uid="{A4E5EF5C-E74D-4AC7-945B-ADF86125CBFF}"/>
    <cellStyle name="20% - Accent5 4 5 4" xfId="18913" xr:uid="{645DA14F-09D5-4BE4-BA6A-DAC6B4BF0D2A}"/>
    <cellStyle name="20% - Accent5 4 5 5" xfId="10439" xr:uid="{277E7030-8B9A-42CA-8B10-0A42B1419A62}"/>
    <cellStyle name="20% - Accent5 4 6" xfId="2303" xr:uid="{00000000-0005-0000-0000-00000B030000}"/>
    <cellStyle name="20% - Accent5 4 6 2" xfId="6609" xr:uid="{00000000-0005-0000-0000-00000C030000}"/>
    <cellStyle name="20% - Accent5 4 6 2 2" xfId="23544" xr:uid="{BB1D8EC1-10A8-4508-92F2-9DF75E6B2B6C}"/>
    <cellStyle name="20% - Accent5 4 6 2 3" xfId="15103" xr:uid="{48CC27FB-F538-46EC-9162-29354B88393C}"/>
    <cellStyle name="20% - Accent5 4 6 3" xfId="19326" xr:uid="{894240CF-C33C-43E5-8E06-7E470EB9FC1A}"/>
    <cellStyle name="20% - Accent5 4 6 4" xfId="10852" xr:uid="{AD8FC990-A295-4BAE-8FB2-734F1A890730}"/>
    <cellStyle name="20% - Accent5 4 7" xfId="4543" xr:uid="{00000000-0005-0000-0000-00000D030000}"/>
    <cellStyle name="20% - Accent5 4 7 2" xfId="21478" xr:uid="{DC8F867C-D1C9-4C3D-9EF4-B8B5FC65404C}"/>
    <cellStyle name="20% - Accent5 4 7 3" xfId="13037" xr:uid="{DAB8B32D-ED91-4CF8-B9D1-F7510D9B0F3F}"/>
    <cellStyle name="20% - Accent5 4 8" xfId="17260" xr:uid="{49AECA92-B968-46FB-B330-F11EB066F778}"/>
    <cellStyle name="20% - Accent5 4 9" xfId="8775" xr:uid="{D1FFC9D3-6514-4DD7-B491-2A97FEC82EF4}"/>
    <cellStyle name="20% - Accent5 5" xfId="602" xr:uid="{00000000-0005-0000-0000-00000E030000}"/>
    <cellStyle name="20% - Accent5 5 2" xfId="2873" xr:uid="{00000000-0005-0000-0000-00000F030000}"/>
    <cellStyle name="20% - Accent5 5 2 2" xfId="7095" xr:uid="{00000000-0005-0000-0000-000010030000}"/>
    <cellStyle name="20% - Accent5 5 2 2 2" xfId="24030" xr:uid="{B556B214-70F8-4118-9D33-6B4A9CF9CB51}"/>
    <cellStyle name="20% - Accent5 5 2 2 3" xfId="15589" xr:uid="{E40B8868-0F48-455A-A401-14ED550BEF35}"/>
    <cellStyle name="20% - Accent5 5 2 3" xfId="19812" xr:uid="{CA5AA3CB-F090-4CCB-BDA8-FAD4F1BF2B8E}"/>
    <cellStyle name="20% - Accent5 5 2 4" xfId="11370" xr:uid="{9D9F2FE5-1402-474F-9EDB-4DAAE836D6B8}"/>
    <cellStyle name="20% - Accent5 5 3" xfId="4950" xr:uid="{00000000-0005-0000-0000-000011030000}"/>
    <cellStyle name="20% - Accent5 5 3 2" xfId="21885" xr:uid="{43F09A5A-F71B-4D28-B4CC-FE77CEC999FC}"/>
    <cellStyle name="20% - Accent5 5 3 3" xfId="13444" xr:uid="{22391D84-FBEE-4A89-99FE-8701406C7D49}"/>
    <cellStyle name="20% - Accent5 5 4" xfId="17667" xr:uid="{1A4DEB5D-B065-43FC-9BB1-96E68612C943}"/>
    <cellStyle name="20% - Accent5 5 5" xfId="9192" xr:uid="{8871F31B-67F0-45A0-B067-3CFC0C853B32}"/>
    <cellStyle name="20% - Accent5 6" xfId="1055" xr:uid="{00000000-0005-0000-0000-000012030000}"/>
    <cellStyle name="20% - Accent5 6 2" xfId="3286" xr:uid="{00000000-0005-0000-0000-000013030000}"/>
    <cellStyle name="20% - Accent5 6 2 2" xfId="7508" xr:uid="{00000000-0005-0000-0000-000014030000}"/>
    <cellStyle name="20% - Accent5 6 2 2 2" xfId="24443" xr:uid="{041BB85E-ED79-4E61-A156-09AAD2924CDA}"/>
    <cellStyle name="20% - Accent5 6 2 2 3" xfId="16002" xr:uid="{6CDA4D7B-72ED-4B95-AB4A-847BB0A7599A}"/>
    <cellStyle name="20% - Accent5 6 2 3" xfId="20225" xr:uid="{EC4DEAED-A958-4553-9FBC-47A25C1FEC1D}"/>
    <cellStyle name="20% - Accent5 6 2 4" xfId="11783" xr:uid="{5494BF05-0450-48A5-BF2E-42F05BC88C09}"/>
    <cellStyle name="20% - Accent5 6 3" xfId="5363" xr:uid="{00000000-0005-0000-0000-000015030000}"/>
    <cellStyle name="20% - Accent5 6 3 2" xfId="22298" xr:uid="{FDDBD210-5600-4F0A-9A52-1C343C6B2820}"/>
    <cellStyle name="20% - Accent5 6 3 3" xfId="13857" xr:uid="{11FB9597-E419-4F02-B277-CE16037F94B0}"/>
    <cellStyle name="20% - Accent5 6 4" xfId="18080" xr:uid="{72212951-B136-443C-8298-7B0387B06345}"/>
    <cellStyle name="20% - Accent5 6 5" xfId="9606" xr:uid="{F1AE72E0-D5EA-42D6-B23F-1195E262BABA}"/>
    <cellStyle name="20% - Accent5 7" xfId="1469" xr:uid="{00000000-0005-0000-0000-000016030000}"/>
    <cellStyle name="20% - Accent5 7 2" xfId="3699" xr:uid="{00000000-0005-0000-0000-000017030000}"/>
    <cellStyle name="20% - Accent5 7 2 2" xfId="7921" xr:uid="{00000000-0005-0000-0000-000018030000}"/>
    <cellStyle name="20% - Accent5 7 2 2 2" xfId="24856" xr:uid="{F7EED1F4-D7E0-4A19-B4D1-B1FD4A2D868D}"/>
    <cellStyle name="20% - Accent5 7 2 2 3" xfId="16415" xr:uid="{B045F5D2-74CC-4FEC-AA31-8FD53E9B87EB}"/>
    <cellStyle name="20% - Accent5 7 2 3" xfId="20638" xr:uid="{D520E80A-96CB-49CD-9804-E5F1F6FED84D}"/>
    <cellStyle name="20% - Accent5 7 2 4" xfId="12196" xr:uid="{380ABAED-FA4F-42FA-9F89-F5785B37BA5C}"/>
    <cellStyle name="20% - Accent5 7 3" xfId="5776" xr:uid="{00000000-0005-0000-0000-000019030000}"/>
    <cellStyle name="20% - Accent5 7 3 2" xfId="22711" xr:uid="{E0827BA4-E96A-4EF9-817C-E50671C05B14}"/>
    <cellStyle name="20% - Accent5 7 3 3" xfId="14270" xr:uid="{DE663A7C-4118-4700-B89A-AE92E366F907}"/>
    <cellStyle name="20% - Accent5 7 4" xfId="18493" xr:uid="{696CD7A8-70FF-4BB1-B148-5896BA300CD6}"/>
    <cellStyle name="20% - Accent5 7 5" xfId="10019" xr:uid="{4AEB17F4-BBF6-4661-80C9-10AF3D75F9BA}"/>
    <cellStyle name="20% - Accent5 8" xfId="1883" xr:uid="{00000000-0005-0000-0000-00001A030000}"/>
    <cellStyle name="20% - Accent5 8 2" xfId="4112" xr:uid="{00000000-0005-0000-0000-00001B030000}"/>
    <cellStyle name="20% - Accent5 8 2 2" xfId="8334" xr:uid="{00000000-0005-0000-0000-00001C030000}"/>
    <cellStyle name="20% - Accent5 8 2 2 2" xfId="25269" xr:uid="{E837D352-EE38-4401-A2D9-B170E72C62D2}"/>
    <cellStyle name="20% - Accent5 8 2 2 3" xfId="16828" xr:uid="{15C397AA-AC82-45B9-9E62-52DDF88E23D8}"/>
    <cellStyle name="20% - Accent5 8 2 3" xfId="21051" xr:uid="{C0AF53BE-42E2-47CF-B004-F085759EA02F}"/>
    <cellStyle name="20% - Accent5 8 2 4" xfId="12609" xr:uid="{19939C7D-8CF6-4FBD-B5D5-7F16BAB3419B}"/>
    <cellStyle name="20% - Accent5 8 3" xfId="6189" xr:uid="{00000000-0005-0000-0000-00001D030000}"/>
    <cellStyle name="20% - Accent5 8 3 2" xfId="23124" xr:uid="{A700A0AA-E0E5-457D-870A-2E1D11C49FE2}"/>
    <cellStyle name="20% - Accent5 8 3 3" xfId="14683" xr:uid="{F2452D45-CBD6-47D6-86CE-93730FC13E66}"/>
    <cellStyle name="20% - Accent5 8 4" xfId="18906" xr:uid="{5A648626-119E-4027-AB91-21EB1665F790}"/>
    <cellStyle name="20% - Accent5 8 5" xfId="10432" xr:uid="{10C39601-9512-44DF-BDB9-3EBC65577E7D}"/>
    <cellStyle name="20% - Accent5 9" xfId="2296" xr:uid="{00000000-0005-0000-0000-00001E030000}"/>
    <cellStyle name="20% - Accent5 9 2" xfId="6602" xr:uid="{00000000-0005-0000-0000-00001F030000}"/>
    <cellStyle name="20% - Accent5 9 2 2" xfId="23537" xr:uid="{4420620B-D220-4217-8E5A-C66B50067BEA}"/>
    <cellStyle name="20% - Accent5 9 2 3" xfId="15096" xr:uid="{1CE7C2A7-1F3D-4199-9ED9-FAC360601373}"/>
    <cellStyle name="20% - Accent5 9 3" xfId="19319" xr:uid="{FA8ED3A9-D9FB-4570-AC54-DF1445484002}"/>
    <cellStyle name="20% - Accent5 9 4" xfId="10845" xr:uid="{70EB0AFE-D809-43DE-923A-289496459731}"/>
    <cellStyle name="20% - Accent6" xfId="41" builtinId="50" customBuiltin="1"/>
    <cellStyle name="20% - Accent6 10" xfId="4544" xr:uid="{00000000-0005-0000-0000-000021030000}"/>
    <cellStyle name="20% - Accent6 10 2" xfId="21479" xr:uid="{23AFD312-C96D-496A-9C8A-A10FDFCA1B22}"/>
    <cellStyle name="20% - Accent6 10 3" xfId="13038" xr:uid="{641C2E98-5CC2-4544-83CC-603ACD996615}"/>
    <cellStyle name="20% - Accent6 11" xfId="17261" xr:uid="{0A6F41B1-BA23-4B6C-8D02-A42D01A42099}"/>
    <cellStyle name="20% - Accent6 12" xfId="8776" xr:uid="{6E796E07-3FCB-494E-8CB3-179CAD1AAA18}"/>
    <cellStyle name="20% - Accent6 2" xfId="42" xr:uid="{00000000-0005-0000-0000-000022030000}"/>
    <cellStyle name="20% - Accent6 2 10" xfId="17262" xr:uid="{DA17B1A1-5695-4173-BE2C-D12383849A6C}"/>
    <cellStyle name="20% - Accent6 2 11" xfId="8777" xr:uid="{0B29AA94-46CB-4FFE-87D5-DBF72A794021}"/>
    <cellStyle name="20% - Accent6 2 2" xfId="43" xr:uid="{00000000-0005-0000-0000-000023030000}"/>
    <cellStyle name="20% - Accent6 2 2 10" xfId="8778" xr:uid="{06768A40-CE81-4538-A0BE-B2D66B8073B9}"/>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4041" xr:uid="{EBDD29AC-5239-48F3-9350-E00FB87323F4}"/>
    <cellStyle name="20% - Accent6 2 2 2 2 2 2 3" xfId="15600" xr:uid="{CEEA90DA-9465-4802-83F2-92DE1350FFE5}"/>
    <cellStyle name="20% - Accent6 2 2 2 2 2 3" xfId="19823" xr:uid="{C0F089FF-0981-41C5-A1E1-8EE4D0282775}"/>
    <cellStyle name="20% - Accent6 2 2 2 2 2 4" xfId="11381" xr:uid="{FFF0F08A-7C94-4F4C-B231-B88CEC8E3D07}"/>
    <cellStyle name="20% - Accent6 2 2 2 2 3" xfId="4961" xr:uid="{00000000-0005-0000-0000-000028030000}"/>
    <cellStyle name="20% - Accent6 2 2 2 2 3 2" xfId="21896" xr:uid="{B9F7889A-8122-4FFB-B319-E80EF0321B8A}"/>
    <cellStyle name="20% - Accent6 2 2 2 2 3 3" xfId="13455" xr:uid="{545EBCE5-87A3-4FC8-A6AF-97DA08DA98F9}"/>
    <cellStyle name="20% - Accent6 2 2 2 2 4" xfId="17678" xr:uid="{F9D971A9-5B92-4C61-AA9C-EBB2A4ED8DCD}"/>
    <cellStyle name="20% - Accent6 2 2 2 2 5" xfId="9203" xr:uid="{749015FD-8289-4B6A-9D1D-E726C7A72DF4}"/>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4454" xr:uid="{9380FD17-2773-4B49-8C6E-2FCA78BB3B5F}"/>
    <cellStyle name="20% - Accent6 2 2 2 3 2 2 3" xfId="16013" xr:uid="{4373F245-3A2A-4B15-8FBC-52F51CEFEABB}"/>
    <cellStyle name="20% - Accent6 2 2 2 3 2 3" xfId="20236" xr:uid="{8C3C55B1-6C4C-42AF-86A3-3A71952AA625}"/>
    <cellStyle name="20% - Accent6 2 2 2 3 2 4" xfId="11794" xr:uid="{06D4143D-3B5C-4E68-8809-9158478E51FB}"/>
    <cellStyle name="20% - Accent6 2 2 2 3 3" xfId="5374" xr:uid="{00000000-0005-0000-0000-00002C030000}"/>
    <cellStyle name="20% - Accent6 2 2 2 3 3 2" xfId="22309" xr:uid="{53610CC0-E2DD-49D0-802D-2A07F8AB5F43}"/>
    <cellStyle name="20% - Accent6 2 2 2 3 3 3" xfId="13868" xr:uid="{44A10656-F7BB-47CE-AD27-8C7A48866588}"/>
    <cellStyle name="20% - Accent6 2 2 2 3 4" xfId="18091" xr:uid="{27FFC873-63A3-4D56-917E-BADB32DDCAF2}"/>
    <cellStyle name="20% - Accent6 2 2 2 3 5" xfId="9617" xr:uid="{4CF7DBCA-68C6-46BA-A4FB-A1E11625B195}"/>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4867" xr:uid="{C3A41B71-5067-474C-AA3F-D151D56F5DF1}"/>
    <cellStyle name="20% - Accent6 2 2 2 4 2 2 3" xfId="16426" xr:uid="{D3C5E6DA-77BA-4538-9A91-7B26ECD16554}"/>
    <cellStyle name="20% - Accent6 2 2 2 4 2 3" xfId="20649" xr:uid="{AD4D6A3A-B093-4115-A12F-8F1E680D0541}"/>
    <cellStyle name="20% - Accent6 2 2 2 4 2 4" xfId="12207" xr:uid="{13ED868D-D5E7-4AA5-BBDA-DCD98C7F3576}"/>
    <cellStyle name="20% - Accent6 2 2 2 4 3" xfId="5787" xr:uid="{00000000-0005-0000-0000-000030030000}"/>
    <cellStyle name="20% - Accent6 2 2 2 4 3 2" xfId="22722" xr:uid="{83E2A461-9A63-49E5-94F6-5CF67CDCA94A}"/>
    <cellStyle name="20% - Accent6 2 2 2 4 3 3" xfId="14281" xr:uid="{65FF3D65-8247-430C-9664-7AB3BDE6E6CF}"/>
    <cellStyle name="20% - Accent6 2 2 2 4 4" xfId="18504" xr:uid="{6ECDDF14-21FD-466E-A7B5-60D603F85F3B}"/>
    <cellStyle name="20% - Accent6 2 2 2 4 5" xfId="10030" xr:uid="{C579912F-25F6-4371-B76B-E28F8140CB92}"/>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5280" xr:uid="{AB7BF884-0C9C-487F-A030-A40AAA32BCBE}"/>
    <cellStyle name="20% - Accent6 2 2 2 5 2 2 3" xfId="16839" xr:uid="{5B359313-57B7-4964-AE20-433F8CF182F9}"/>
    <cellStyle name="20% - Accent6 2 2 2 5 2 3" xfId="21062" xr:uid="{24E4579E-B041-4EA1-9F9B-8D3C58616366}"/>
    <cellStyle name="20% - Accent6 2 2 2 5 2 4" xfId="12620" xr:uid="{E956B539-0AD1-44E4-BAAD-29495820E526}"/>
    <cellStyle name="20% - Accent6 2 2 2 5 3" xfId="6200" xr:uid="{00000000-0005-0000-0000-000034030000}"/>
    <cellStyle name="20% - Accent6 2 2 2 5 3 2" xfId="23135" xr:uid="{C24C0211-8926-4BEE-9DD3-C1B02AACFA9F}"/>
    <cellStyle name="20% - Accent6 2 2 2 5 3 3" xfId="14694" xr:uid="{16BDE630-93CD-48E1-B959-040B9B8F598E}"/>
    <cellStyle name="20% - Accent6 2 2 2 5 4" xfId="18917" xr:uid="{B6106D20-AB08-4F87-9D6B-9D626D30C755}"/>
    <cellStyle name="20% - Accent6 2 2 2 5 5" xfId="10443" xr:uid="{FDD4ABD2-465D-4441-83B3-CC85CD13B984}"/>
    <cellStyle name="20% - Accent6 2 2 2 6" xfId="2307" xr:uid="{00000000-0005-0000-0000-000035030000}"/>
    <cellStyle name="20% - Accent6 2 2 2 6 2" xfId="6613" xr:uid="{00000000-0005-0000-0000-000036030000}"/>
    <cellStyle name="20% - Accent6 2 2 2 6 2 2" xfId="23548" xr:uid="{EA03DA47-2EF4-4C4A-881E-5BE99D859B64}"/>
    <cellStyle name="20% - Accent6 2 2 2 6 2 3" xfId="15107" xr:uid="{2169630B-559A-499E-BDF0-4BA54AEF66C0}"/>
    <cellStyle name="20% - Accent6 2 2 2 6 3" xfId="19330" xr:uid="{CE8A29D3-8373-45D5-A8D3-5A0946ED03AC}"/>
    <cellStyle name="20% - Accent6 2 2 2 6 4" xfId="10856" xr:uid="{B8A36EC7-BB9D-4FDA-A5F1-ADCE9B5D1341}"/>
    <cellStyle name="20% - Accent6 2 2 2 7" xfId="4547" xr:uid="{00000000-0005-0000-0000-000037030000}"/>
    <cellStyle name="20% - Accent6 2 2 2 7 2" xfId="21482" xr:uid="{D750899F-0B58-4D7A-90A6-BC2FEA1713CC}"/>
    <cellStyle name="20% - Accent6 2 2 2 7 3" xfId="13041" xr:uid="{07B56CC0-5B10-45FB-8977-1F2F98F472EB}"/>
    <cellStyle name="20% - Accent6 2 2 2 8" xfId="17264" xr:uid="{48F627CC-101E-4E3D-8B8C-1900CD398AA2}"/>
    <cellStyle name="20% - Accent6 2 2 2 9" xfId="8779" xr:uid="{61AE75BB-2FE0-4D53-9E69-3710C09A6DAE}"/>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4040" xr:uid="{5435063A-A871-4A64-AC6A-2B0436158D80}"/>
    <cellStyle name="20% - Accent6 2 2 3 2 2 3" xfId="15599" xr:uid="{0CF52812-C744-47AE-AA83-95B3B574F57B}"/>
    <cellStyle name="20% - Accent6 2 2 3 2 3" xfId="19822" xr:uid="{16BE0BD8-EF60-4916-84B6-5954E7306F36}"/>
    <cellStyle name="20% - Accent6 2 2 3 2 4" xfId="11380" xr:uid="{38F7D302-0744-4A81-9381-B2BDDA44114C}"/>
    <cellStyle name="20% - Accent6 2 2 3 3" xfId="4960" xr:uid="{00000000-0005-0000-0000-00003B030000}"/>
    <cellStyle name="20% - Accent6 2 2 3 3 2" xfId="21895" xr:uid="{C50F9191-A954-4D9E-95F0-806C534105D1}"/>
    <cellStyle name="20% - Accent6 2 2 3 3 3" xfId="13454" xr:uid="{9CD734D4-B052-4478-9F4C-B43C264C814B}"/>
    <cellStyle name="20% - Accent6 2 2 3 4" xfId="17677" xr:uid="{299CCD7F-BDEC-4625-AEA7-AAA30E4E0BE7}"/>
    <cellStyle name="20% - Accent6 2 2 3 5" xfId="9202" xr:uid="{1DE9261B-E28C-42EA-BFA4-7B7AF4A60076}"/>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4453" xr:uid="{0E7A95E7-1E7B-4C52-B0BA-67CFF0D2EA6D}"/>
    <cellStyle name="20% - Accent6 2 2 4 2 2 3" xfId="16012" xr:uid="{2BA80699-C19E-40D5-8214-39AFDCA60035}"/>
    <cellStyle name="20% - Accent6 2 2 4 2 3" xfId="20235" xr:uid="{D2EB5B3C-F06F-4425-A7A3-3C9AA5A7CBAC}"/>
    <cellStyle name="20% - Accent6 2 2 4 2 4" xfId="11793" xr:uid="{946A03ED-80E5-42D8-A1DF-DB6DC7488107}"/>
    <cellStyle name="20% - Accent6 2 2 4 3" xfId="5373" xr:uid="{00000000-0005-0000-0000-00003F030000}"/>
    <cellStyle name="20% - Accent6 2 2 4 3 2" xfId="22308" xr:uid="{9409F808-67F0-42C5-814E-CADF0933CA90}"/>
    <cellStyle name="20% - Accent6 2 2 4 3 3" xfId="13867" xr:uid="{1C3173DF-11E7-4963-AF7A-2DBB82CBD642}"/>
    <cellStyle name="20% - Accent6 2 2 4 4" xfId="18090" xr:uid="{826E0FDC-657F-418C-A304-48FFFE66AD35}"/>
    <cellStyle name="20% - Accent6 2 2 4 5" xfId="9616" xr:uid="{1EDA284C-7D22-495A-841D-EEAE246A361E}"/>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4866" xr:uid="{1D1B64A0-697E-437E-88CA-612F64351663}"/>
    <cellStyle name="20% - Accent6 2 2 5 2 2 3" xfId="16425" xr:uid="{0A4214A4-F6EA-4CED-BC18-4F06210B4EF6}"/>
    <cellStyle name="20% - Accent6 2 2 5 2 3" xfId="20648" xr:uid="{A7074603-1C17-434A-9BDD-5DB06A9D3DB4}"/>
    <cellStyle name="20% - Accent6 2 2 5 2 4" xfId="12206" xr:uid="{3021124D-6CB7-4A4E-8609-9CEDEE6FE050}"/>
    <cellStyle name="20% - Accent6 2 2 5 3" xfId="5786" xr:uid="{00000000-0005-0000-0000-000043030000}"/>
    <cellStyle name="20% - Accent6 2 2 5 3 2" xfId="22721" xr:uid="{2DE743AB-84A9-4383-A346-1E22E652B0EB}"/>
    <cellStyle name="20% - Accent6 2 2 5 3 3" xfId="14280" xr:uid="{AB1F0EC8-0B62-4DB2-ADF0-998EFC9FC782}"/>
    <cellStyle name="20% - Accent6 2 2 5 4" xfId="18503" xr:uid="{0E5C78DE-0918-46D1-B5EB-9C6126CE9B8B}"/>
    <cellStyle name="20% - Accent6 2 2 5 5" xfId="10029" xr:uid="{F82F8079-84D6-4AEE-A05F-E6FDFA2B1FBE}"/>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5279" xr:uid="{E901B799-DF48-4B85-B7A1-3DEF72E1EADC}"/>
    <cellStyle name="20% - Accent6 2 2 6 2 2 3" xfId="16838" xr:uid="{5348165D-5799-40CF-9C8E-DB7390A9C057}"/>
    <cellStyle name="20% - Accent6 2 2 6 2 3" xfId="21061" xr:uid="{396F4F62-0010-4DF1-8E66-BCD4C9C3047E}"/>
    <cellStyle name="20% - Accent6 2 2 6 2 4" xfId="12619" xr:uid="{7BBF1CB0-726B-4F3C-9EAB-0BBACB15A6BA}"/>
    <cellStyle name="20% - Accent6 2 2 6 3" xfId="6199" xr:uid="{00000000-0005-0000-0000-000047030000}"/>
    <cellStyle name="20% - Accent6 2 2 6 3 2" xfId="23134" xr:uid="{BCBBB3B5-E4BC-4773-8F14-A699408E7ED3}"/>
    <cellStyle name="20% - Accent6 2 2 6 3 3" xfId="14693" xr:uid="{C0A9EF9A-A84C-4958-9224-7161B134B15C}"/>
    <cellStyle name="20% - Accent6 2 2 6 4" xfId="18916" xr:uid="{BC194D14-AEB2-486C-B44A-0DE2B1BFEB97}"/>
    <cellStyle name="20% - Accent6 2 2 6 5" xfId="10442" xr:uid="{A0D38067-080B-48E4-AB50-21E12FF0F6D2}"/>
    <cellStyle name="20% - Accent6 2 2 7" xfId="2306" xr:uid="{00000000-0005-0000-0000-000048030000}"/>
    <cellStyle name="20% - Accent6 2 2 7 2" xfId="6612" xr:uid="{00000000-0005-0000-0000-000049030000}"/>
    <cellStyle name="20% - Accent6 2 2 7 2 2" xfId="23547" xr:uid="{2E515EFE-A29F-492C-A031-87F34564A3F5}"/>
    <cellStyle name="20% - Accent6 2 2 7 2 3" xfId="15106" xr:uid="{57996865-2D10-4D14-A786-1F4A2442233D}"/>
    <cellStyle name="20% - Accent6 2 2 7 3" xfId="19329" xr:uid="{74CA6538-F3D6-4F0B-82B7-E82EB1AF1AFF}"/>
    <cellStyle name="20% - Accent6 2 2 7 4" xfId="10855" xr:uid="{FC960737-4983-480E-993E-26F2416912DB}"/>
    <cellStyle name="20% - Accent6 2 2 8" xfId="4546" xr:uid="{00000000-0005-0000-0000-00004A030000}"/>
    <cellStyle name="20% - Accent6 2 2 8 2" xfId="21481" xr:uid="{19CC7248-132F-4558-BAA4-20B70EAFCE79}"/>
    <cellStyle name="20% - Accent6 2 2 8 3" xfId="13040" xr:uid="{027F1B92-5380-4806-A149-5CC9E20AB311}"/>
    <cellStyle name="20% - Accent6 2 2 9" xfId="17263" xr:uid="{3091A771-F94C-463D-BFE5-8B90CC788E35}"/>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4042" xr:uid="{C44B66B0-BCA0-4FD0-820C-C85BD9B88BDB}"/>
    <cellStyle name="20% - Accent6 2 3 2 2 2 3" xfId="15601" xr:uid="{8EB51FFB-4EE4-4F8F-A265-A1678A4F7908}"/>
    <cellStyle name="20% - Accent6 2 3 2 2 3" xfId="19824" xr:uid="{AA4CB9AD-6AA6-4045-ABB0-C33F14EAE947}"/>
    <cellStyle name="20% - Accent6 2 3 2 2 4" xfId="11382" xr:uid="{B9403D1D-FDFC-4CB0-854B-3D44C2DD5F04}"/>
    <cellStyle name="20% - Accent6 2 3 2 3" xfId="4962" xr:uid="{00000000-0005-0000-0000-00004F030000}"/>
    <cellStyle name="20% - Accent6 2 3 2 3 2" xfId="21897" xr:uid="{5E1E4A21-573E-4D45-B892-1D73945C556A}"/>
    <cellStyle name="20% - Accent6 2 3 2 3 3" xfId="13456" xr:uid="{0BE7A475-E2C0-4C2B-8598-C112A65A2352}"/>
    <cellStyle name="20% - Accent6 2 3 2 4" xfId="17679" xr:uid="{1BFCB56A-008B-4E49-816A-13F0FEEB2B58}"/>
    <cellStyle name="20% - Accent6 2 3 2 5" xfId="9204" xr:uid="{A84767CE-FA76-437E-8A30-72113FE699A1}"/>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4455" xr:uid="{636998DB-7C10-485F-AA44-06C3EC604200}"/>
    <cellStyle name="20% - Accent6 2 3 3 2 2 3" xfId="16014" xr:uid="{171E9642-260D-4155-92FD-D26BEE877F40}"/>
    <cellStyle name="20% - Accent6 2 3 3 2 3" xfId="20237" xr:uid="{1629CB1B-5208-45DE-8B4C-3A48DF8FDB77}"/>
    <cellStyle name="20% - Accent6 2 3 3 2 4" xfId="11795" xr:uid="{49CFFF59-CB65-45AB-81B4-5276BE2376FC}"/>
    <cellStyle name="20% - Accent6 2 3 3 3" xfId="5375" xr:uid="{00000000-0005-0000-0000-000053030000}"/>
    <cellStyle name="20% - Accent6 2 3 3 3 2" xfId="22310" xr:uid="{448E5310-0227-47BF-87BD-6866AF5D6052}"/>
    <cellStyle name="20% - Accent6 2 3 3 3 3" xfId="13869" xr:uid="{91903185-CA95-4F32-917A-111A144DFD26}"/>
    <cellStyle name="20% - Accent6 2 3 3 4" xfId="18092" xr:uid="{1B5CA0C5-BEAE-4FC3-8724-155B842B9D6A}"/>
    <cellStyle name="20% - Accent6 2 3 3 5" xfId="9618" xr:uid="{8406D230-8A84-4E70-A8BB-E1A7C9BCF2D6}"/>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4868" xr:uid="{668C4745-51FF-4865-9867-236D68C35779}"/>
    <cellStyle name="20% - Accent6 2 3 4 2 2 3" xfId="16427" xr:uid="{2F47D323-ECD5-41E2-8CBF-C1D0B2C321BD}"/>
    <cellStyle name="20% - Accent6 2 3 4 2 3" xfId="20650" xr:uid="{777F47C2-B070-4865-8E5B-E91A5277931D}"/>
    <cellStyle name="20% - Accent6 2 3 4 2 4" xfId="12208" xr:uid="{04E42882-583D-422D-B764-6A13DAAB856B}"/>
    <cellStyle name="20% - Accent6 2 3 4 3" xfId="5788" xr:uid="{00000000-0005-0000-0000-000057030000}"/>
    <cellStyle name="20% - Accent6 2 3 4 3 2" xfId="22723" xr:uid="{8D545AFA-04FE-42E4-814E-16966DE6AC01}"/>
    <cellStyle name="20% - Accent6 2 3 4 3 3" xfId="14282" xr:uid="{77958BDB-5388-4A6C-8F0C-1D42FD1EED43}"/>
    <cellStyle name="20% - Accent6 2 3 4 4" xfId="18505" xr:uid="{6E256C60-D743-4936-8BA4-A77742CF3942}"/>
    <cellStyle name="20% - Accent6 2 3 4 5" xfId="10031" xr:uid="{F686EDD0-AB89-4456-A702-2237DA4797ED}"/>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5281" xr:uid="{A291D28F-BF4A-4B2A-840F-725186F9CFFA}"/>
    <cellStyle name="20% - Accent6 2 3 5 2 2 3" xfId="16840" xr:uid="{C329856E-2383-465B-BA3E-B5BE5C5188BD}"/>
    <cellStyle name="20% - Accent6 2 3 5 2 3" xfId="21063" xr:uid="{378B2EA1-AF7D-4BDF-89B1-1C2415A3A433}"/>
    <cellStyle name="20% - Accent6 2 3 5 2 4" xfId="12621" xr:uid="{4731CF48-AF39-468C-AE21-6BD307BA7BF0}"/>
    <cellStyle name="20% - Accent6 2 3 5 3" xfId="6201" xr:uid="{00000000-0005-0000-0000-00005B030000}"/>
    <cellStyle name="20% - Accent6 2 3 5 3 2" xfId="23136" xr:uid="{5B47192E-C2C3-48D0-B2F5-14715381309D}"/>
    <cellStyle name="20% - Accent6 2 3 5 3 3" xfId="14695" xr:uid="{0F373554-03A1-4819-A730-42D458A8446D}"/>
    <cellStyle name="20% - Accent6 2 3 5 4" xfId="18918" xr:uid="{E9810691-DE7C-4FED-9371-3428FFB2A480}"/>
    <cellStyle name="20% - Accent6 2 3 5 5" xfId="10444" xr:uid="{96F98A52-1E87-4616-9C7D-112C38201F2B}"/>
    <cellStyle name="20% - Accent6 2 3 6" xfId="2308" xr:uid="{00000000-0005-0000-0000-00005C030000}"/>
    <cellStyle name="20% - Accent6 2 3 6 2" xfId="6614" xr:uid="{00000000-0005-0000-0000-00005D030000}"/>
    <cellStyle name="20% - Accent6 2 3 6 2 2" xfId="23549" xr:uid="{1FF30D70-C794-4405-9911-735D11E99C07}"/>
    <cellStyle name="20% - Accent6 2 3 6 2 3" xfId="15108" xr:uid="{DB02716E-A8B5-44B1-9B04-9160AFEEC06D}"/>
    <cellStyle name="20% - Accent6 2 3 6 3" xfId="19331" xr:uid="{DC09994A-658F-40AE-BE9F-BD408FCA5124}"/>
    <cellStyle name="20% - Accent6 2 3 6 4" xfId="10857" xr:uid="{085F6533-46E5-4141-9E2D-EAA063D653E6}"/>
    <cellStyle name="20% - Accent6 2 3 7" xfId="4548" xr:uid="{00000000-0005-0000-0000-00005E030000}"/>
    <cellStyle name="20% - Accent6 2 3 7 2" xfId="21483" xr:uid="{3ED3F261-5305-4901-B449-4CF3BBB33ACE}"/>
    <cellStyle name="20% - Accent6 2 3 7 3" xfId="13042" xr:uid="{1068C1E1-FA9E-4596-920C-73FCD0B796D2}"/>
    <cellStyle name="20% - Accent6 2 3 8" xfId="17265" xr:uid="{64D4B671-91F5-45C8-A3A7-9B3AA7D92071}"/>
    <cellStyle name="20% - Accent6 2 3 9" xfId="8780" xr:uid="{F13A7082-630A-4883-8A6C-5C4C87F4E5A0}"/>
    <cellStyle name="20% - Accent6 2 4" xfId="611" xr:uid="{00000000-0005-0000-0000-00005F030000}"/>
    <cellStyle name="20% - Accent6 2 4 2" xfId="2882" xr:uid="{00000000-0005-0000-0000-000060030000}"/>
    <cellStyle name="20% - Accent6 2 4 2 2" xfId="7104" xr:uid="{00000000-0005-0000-0000-000061030000}"/>
    <cellStyle name="20% - Accent6 2 4 2 2 2" xfId="24039" xr:uid="{56EDAA27-6CD8-47E2-82C8-2087413530BB}"/>
    <cellStyle name="20% - Accent6 2 4 2 2 3" xfId="15598" xr:uid="{6BB50A6E-0D43-4426-8CAC-540B4BD05481}"/>
    <cellStyle name="20% - Accent6 2 4 2 3" xfId="19821" xr:uid="{BA30E4F0-E408-4319-902F-EB3E7180FD5E}"/>
    <cellStyle name="20% - Accent6 2 4 2 4" xfId="11379" xr:uid="{EACF78C6-129C-4A05-A2B4-8A7F73FA8980}"/>
    <cellStyle name="20% - Accent6 2 4 3" xfId="4959" xr:uid="{00000000-0005-0000-0000-000062030000}"/>
    <cellStyle name="20% - Accent6 2 4 3 2" xfId="21894" xr:uid="{27E9A657-DDE2-49AD-B4D1-F88764E75022}"/>
    <cellStyle name="20% - Accent6 2 4 3 3" xfId="13453" xr:uid="{47594291-D593-4DD6-AFEB-52D47F3E3443}"/>
    <cellStyle name="20% - Accent6 2 4 4" xfId="17676" xr:uid="{5BBBD80B-110A-431B-9E80-47D273DE0FAB}"/>
    <cellStyle name="20% - Accent6 2 4 5" xfId="9201" xr:uid="{0CD9AA57-3BC4-4030-822E-13D0DFA4B2CD}"/>
    <cellStyle name="20% - Accent6 2 5" xfId="1064" xr:uid="{00000000-0005-0000-0000-000063030000}"/>
    <cellStyle name="20% - Accent6 2 5 2" xfId="3295" xr:uid="{00000000-0005-0000-0000-000064030000}"/>
    <cellStyle name="20% - Accent6 2 5 2 2" xfId="7517" xr:uid="{00000000-0005-0000-0000-000065030000}"/>
    <cellStyle name="20% - Accent6 2 5 2 2 2" xfId="24452" xr:uid="{862AAEE9-B9BB-47A8-9137-83C3891D495E}"/>
    <cellStyle name="20% - Accent6 2 5 2 2 3" xfId="16011" xr:uid="{BCE0A59F-6E4B-4873-B221-3624813153B5}"/>
    <cellStyle name="20% - Accent6 2 5 2 3" xfId="20234" xr:uid="{16AC7995-056E-4FFD-AD1C-2346E70A821D}"/>
    <cellStyle name="20% - Accent6 2 5 2 4" xfId="11792" xr:uid="{B9235E36-0298-4138-98FE-9A054F0C0713}"/>
    <cellStyle name="20% - Accent6 2 5 3" xfId="5372" xr:uid="{00000000-0005-0000-0000-000066030000}"/>
    <cellStyle name="20% - Accent6 2 5 3 2" xfId="22307" xr:uid="{224B3C2A-C984-47E9-BAF1-A69450E02853}"/>
    <cellStyle name="20% - Accent6 2 5 3 3" xfId="13866" xr:uid="{9068F989-3C04-4609-9284-D7E9914A37B3}"/>
    <cellStyle name="20% - Accent6 2 5 4" xfId="18089" xr:uid="{1775EAB8-75CB-4395-BBC1-8B8C7525ACB5}"/>
    <cellStyle name="20% - Accent6 2 5 5" xfId="9615" xr:uid="{B6F27344-94F2-4F6B-B198-E72F5E31250E}"/>
    <cellStyle name="20% - Accent6 2 6" xfId="1478" xr:uid="{00000000-0005-0000-0000-000067030000}"/>
    <cellStyle name="20% - Accent6 2 6 2" xfId="3708" xr:uid="{00000000-0005-0000-0000-000068030000}"/>
    <cellStyle name="20% - Accent6 2 6 2 2" xfId="7930" xr:uid="{00000000-0005-0000-0000-000069030000}"/>
    <cellStyle name="20% - Accent6 2 6 2 2 2" xfId="24865" xr:uid="{44BAB2C8-666D-46C0-9B4D-F17506597FEE}"/>
    <cellStyle name="20% - Accent6 2 6 2 2 3" xfId="16424" xr:uid="{22F1E376-0041-4AA9-AB45-D37119AEFF21}"/>
    <cellStyle name="20% - Accent6 2 6 2 3" xfId="20647" xr:uid="{54731412-9217-488E-BEB1-0F49560A79E3}"/>
    <cellStyle name="20% - Accent6 2 6 2 4" xfId="12205" xr:uid="{15409E90-FDCA-41F5-9E3C-6F10CB22FD25}"/>
    <cellStyle name="20% - Accent6 2 6 3" xfId="5785" xr:uid="{00000000-0005-0000-0000-00006A030000}"/>
    <cellStyle name="20% - Accent6 2 6 3 2" xfId="22720" xr:uid="{854B01ED-74A0-4BC7-827C-906DB4D6468B}"/>
    <cellStyle name="20% - Accent6 2 6 3 3" xfId="14279" xr:uid="{1CD41AEB-97C7-456C-82FA-F207DDB95991}"/>
    <cellStyle name="20% - Accent6 2 6 4" xfId="18502" xr:uid="{96DF79C4-9DA2-466D-8524-AFA80C45B642}"/>
    <cellStyle name="20% - Accent6 2 6 5" xfId="10028" xr:uid="{5FCE630C-C5A5-43BE-A8E7-AB934782E57F}"/>
    <cellStyle name="20% - Accent6 2 7" xfId="1892" xr:uid="{00000000-0005-0000-0000-00006B030000}"/>
    <cellStyle name="20% - Accent6 2 7 2" xfId="4121" xr:uid="{00000000-0005-0000-0000-00006C030000}"/>
    <cellStyle name="20% - Accent6 2 7 2 2" xfId="8343" xr:uid="{00000000-0005-0000-0000-00006D030000}"/>
    <cellStyle name="20% - Accent6 2 7 2 2 2" xfId="25278" xr:uid="{F2D53953-42B6-432D-AC50-731F12B34D2D}"/>
    <cellStyle name="20% - Accent6 2 7 2 2 3" xfId="16837" xr:uid="{9A583390-2CAE-43D8-8034-38F715A50E98}"/>
    <cellStyle name="20% - Accent6 2 7 2 3" xfId="21060" xr:uid="{838802ED-82E0-44D4-ACDE-1B22BD25D13E}"/>
    <cellStyle name="20% - Accent6 2 7 2 4" xfId="12618" xr:uid="{75953273-51A5-43BB-8C4E-7B9092A1214C}"/>
    <cellStyle name="20% - Accent6 2 7 3" xfId="6198" xr:uid="{00000000-0005-0000-0000-00006E030000}"/>
    <cellStyle name="20% - Accent6 2 7 3 2" xfId="23133" xr:uid="{3F58C7CF-FDF2-458A-8852-AA4D776D0704}"/>
    <cellStyle name="20% - Accent6 2 7 3 3" xfId="14692" xr:uid="{56A9657D-C9C4-409B-8DE2-0B347DE16816}"/>
    <cellStyle name="20% - Accent6 2 7 4" xfId="18915" xr:uid="{8D7FB1A4-F63C-4CC0-B53D-9F34A42CB8EC}"/>
    <cellStyle name="20% - Accent6 2 7 5" xfId="10441" xr:uid="{209A4760-0809-42E3-8D8E-CE29CB5999B2}"/>
    <cellStyle name="20% - Accent6 2 8" xfId="2305" xr:uid="{00000000-0005-0000-0000-00006F030000}"/>
    <cellStyle name="20% - Accent6 2 8 2" xfId="6611" xr:uid="{00000000-0005-0000-0000-000070030000}"/>
    <cellStyle name="20% - Accent6 2 8 2 2" xfId="23546" xr:uid="{F0231DAD-55A7-4E6C-ACC1-688FD161AB0C}"/>
    <cellStyle name="20% - Accent6 2 8 2 3" xfId="15105" xr:uid="{D550AD15-7318-4AED-B81E-83898DDA4246}"/>
    <cellStyle name="20% - Accent6 2 8 3" xfId="19328" xr:uid="{6E73FD95-A575-468F-9F6B-AEE7E110643E}"/>
    <cellStyle name="20% - Accent6 2 8 4" xfId="10854" xr:uid="{3A80FB10-5326-4190-93A1-C83B733DC331}"/>
    <cellStyle name="20% - Accent6 2 9" xfId="4545" xr:uid="{00000000-0005-0000-0000-000071030000}"/>
    <cellStyle name="20% - Accent6 2 9 2" xfId="21480" xr:uid="{C433466F-AA08-4A50-A597-D7C31E15EDD4}"/>
    <cellStyle name="20% - Accent6 2 9 3" xfId="13039" xr:uid="{320E14F5-08AA-4215-BAD6-C386BE2FC563}"/>
    <cellStyle name="20% - Accent6 3" xfId="46" xr:uid="{00000000-0005-0000-0000-000072030000}"/>
    <cellStyle name="20% - Accent6 3 10" xfId="8781" xr:uid="{BC21F9F5-DDC3-48E6-A5AF-5D9354EC4943}"/>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044" xr:uid="{D4989335-22A8-4428-910D-1E9906E47863}"/>
    <cellStyle name="20% - Accent6 3 2 2 2 2 3" xfId="15603" xr:uid="{F7AD842A-713D-48C2-A91D-54AD59D0276D}"/>
    <cellStyle name="20% - Accent6 3 2 2 2 3" xfId="19826" xr:uid="{26DD3F88-430F-405B-AF08-DECFA2BA02AA}"/>
    <cellStyle name="20% - Accent6 3 2 2 2 4" xfId="11384" xr:uid="{4CE673B1-DDB0-44BE-91A2-9E3E25638974}"/>
    <cellStyle name="20% - Accent6 3 2 2 3" xfId="4964" xr:uid="{00000000-0005-0000-0000-000077030000}"/>
    <cellStyle name="20% - Accent6 3 2 2 3 2" xfId="21899" xr:uid="{44ADA353-DA6A-4C3C-9465-493AF7F82715}"/>
    <cellStyle name="20% - Accent6 3 2 2 3 3" xfId="13458" xr:uid="{26ADE84D-D394-483C-85D8-16F06FDAD0E4}"/>
    <cellStyle name="20% - Accent6 3 2 2 4" xfId="17681" xr:uid="{64809A72-3CAF-466C-9355-BE35A340126C}"/>
    <cellStyle name="20% - Accent6 3 2 2 5" xfId="9206" xr:uid="{269721F3-3A01-42C8-A026-4EFB8907A8AC}"/>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4457" xr:uid="{DA4A8750-4427-4F48-B086-B9E327476889}"/>
    <cellStyle name="20% - Accent6 3 2 3 2 2 3" xfId="16016" xr:uid="{EAF52911-6A95-476C-9274-B7A5438CA93F}"/>
    <cellStyle name="20% - Accent6 3 2 3 2 3" xfId="20239" xr:uid="{2344EA3F-B8D1-462F-A089-09C3A0714101}"/>
    <cellStyle name="20% - Accent6 3 2 3 2 4" xfId="11797" xr:uid="{73B34E18-DB83-40CF-BCC9-6B17829CBEC5}"/>
    <cellStyle name="20% - Accent6 3 2 3 3" xfId="5377" xr:uid="{00000000-0005-0000-0000-00007B030000}"/>
    <cellStyle name="20% - Accent6 3 2 3 3 2" xfId="22312" xr:uid="{06B1BE93-135A-4213-AEA8-5C576D9EA857}"/>
    <cellStyle name="20% - Accent6 3 2 3 3 3" xfId="13871" xr:uid="{6D9C70C4-B787-436C-9A6A-AEF864E91DD6}"/>
    <cellStyle name="20% - Accent6 3 2 3 4" xfId="18094" xr:uid="{3C36AFA7-86C7-4628-8E3A-AEE43E9BEABC}"/>
    <cellStyle name="20% - Accent6 3 2 3 5" xfId="9620" xr:uid="{697AC9A4-2AF3-4F6B-B48A-2F3E6BB2085B}"/>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4870" xr:uid="{18194C54-82CA-48E3-8C40-1B53EF33AD2F}"/>
    <cellStyle name="20% - Accent6 3 2 4 2 2 3" xfId="16429" xr:uid="{7E2334BF-E553-42E0-83DC-A927467F63BC}"/>
    <cellStyle name="20% - Accent6 3 2 4 2 3" xfId="20652" xr:uid="{98DD328E-3587-4445-8414-1FA9C8FA1CAD}"/>
    <cellStyle name="20% - Accent6 3 2 4 2 4" xfId="12210" xr:uid="{521515FE-375E-4E42-BE99-0D077E2E2024}"/>
    <cellStyle name="20% - Accent6 3 2 4 3" xfId="5790" xr:uid="{00000000-0005-0000-0000-00007F030000}"/>
    <cellStyle name="20% - Accent6 3 2 4 3 2" xfId="22725" xr:uid="{9BB543A3-C94D-4D89-B81F-D6AFF850DD96}"/>
    <cellStyle name="20% - Accent6 3 2 4 3 3" xfId="14284" xr:uid="{372137BC-ECD1-42FD-A798-401E7A2F91E1}"/>
    <cellStyle name="20% - Accent6 3 2 4 4" xfId="18507" xr:uid="{54CB7271-5633-4D1F-B9F8-A7E6AF37F5E4}"/>
    <cellStyle name="20% - Accent6 3 2 4 5" xfId="10033" xr:uid="{3BA2349A-D96C-4AD4-BC59-C3B9DD595AC6}"/>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5283" xr:uid="{E0D19757-EBB4-45AD-9A13-1D3F40B5ABAD}"/>
    <cellStyle name="20% - Accent6 3 2 5 2 2 3" xfId="16842" xr:uid="{60FC8606-389B-450A-A376-B1CD0B466572}"/>
    <cellStyle name="20% - Accent6 3 2 5 2 3" xfId="21065" xr:uid="{58E7C82A-74BF-4AB5-BBCD-9ED365B1EE80}"/>
    <cellStyle name="20% - Accent6 3 2 5 2 4" xfId="12623" xr:uid="{4B3A1932-B802-4EDE-BAE4-4C6B07F95819}"/>
    <cellStyle name="20% - Accent6 3 2 5 3" xfId="6203" xr:uid="{00000000-0005-0000-0000-000083030000}"/>
    <cellStyle name="20% - Accent6 3 2 5 3 2" xfId="23138" xr:uid="{60E2BAA3-AC1E-4F20-A9CA-873B27025136}"/>
    <cellStyle name="20% - Accent6 3 2 5 3 3" xfId="14697" xr:uid="{A2DE44CD-8301-4137-974A-61D2E13873CB}"/>
    <cellStyle name="20% - Accent6 3 2 5 4" xfId="18920" xr:uid="{2B86AA11-132F-4680-B4FB-2615DDA048F6}"/>
    <cellStyle name="20% - Accent6 3 2 5 5" xfId="10446" xr:uid="{94DEDC9C-FD39-4E30-995E-0E94BE3666D1}"/>
    <cellStyle name="20% - Accent6 3 2 6" xfId="2310" xr:uid="{00000000-0005-0000-0000-000084030000}"/>
    <cellStyle name="20% - Accent6 3 2 6 2" xfId="6616" xr:uid="{00000000-0005-0000-0000-000085030000}"/>
    <cellStyle name="20% - Accent6 3 2 6 2 2" xfId="23551" xr:uid="{804484CA-C89A-468B-849B-CBF70D2CFC0B}"/>
    <cellStyle name="20% - Accent6 3 2 6 2 3" xfId="15110" xr:uid="{4D92EA88-3021-44C9-B5E6-CC2CD885977D}"/>
    <cellStyle name="20% - Accent6 3 2 6 3" xfId="19333" xr:uid="{F0AB650D-6BC3-4152-B524-ABA835990E4F}"/>
    <cellStyle name="20% - Accent6 3 2 6 4" xfId="10859" xr:uid="{7B032FFC-A629-4F7C-B71E-D047058FD070}"/>
    <cellStyle name="20% - Accent6 3 2 7" xfId="4550" xr:uid="{00000000-0005-0000-0000-000086030000}"/>
    <cellStyle name="20% - Accent6 3 2 7 2" xfId="21485" xr:uid="{80020DF9-C7F9-42BC-BB31-B40E9B4BD04C}"/>
    <cellStyle name="20% - Accent6 3 2 7 3" xfId="13044" xr:uid="{47B8F4AA-FA18-4B87-B6C0-DDDEE6F9FD29}"/>
    <cellStyle name="20% - Accent6 3 2 8" xfId="17267" xr:uid="{3E3D94FB-B2F6-48A8-98FB-0B2826BE74C4}"/>
    <cellStyle name="20% - Accent6 3 2 9" xfId="8782" xr:uid="{D282A234-93EF-4460-A5DA-27A8A5CF5F18}"/>
    <cellStyle name="20% - Accent6 3 3" xfId="615" xr:uid="{00000000-0005-0000-0000-000087030000}"/>
    <cellStyle name="20% - Accent6 3 3 2" xfId="2886" xr:uid="{00000000-0005-0000-0000-000088030000}"/>
    <cellStyle name="20% - Accent6 3 3 2 2" xfId="7108" xr:uid="{00000000-0005-0000-0000-000089030000}"/>
    <cellStyle name="20% - Accent6 3 3 2 2 2" xfId="24043" xr:uid="{EEFEF8DF-EEAD-438C-8545-B132A23B0952}"/>
    <cellStyle name="20% - Accent6 3 3 2 2 3" xfId="15602" xr:uid="{C6857331-D21C-441C-AB4D-540D95061A93}"/>
    <cellStyle name="20% - Accent6 3 3 2 3" xfId="19825" xr:uid="{D58B1192-9058-4DFB-8918-CC768FD6BD64}"/>
    <cellStyle name="20% - Accent6 3 3 2 4" xfId="11383" xr:uid="{F311B6D7-1C89-44F3-ADC3-8BDE12996DFF}"/>
    <cellStyle name="20% - Accent6 3 3 3" xfId="4963" xr:uid="{00000000-0005-0000-0000-00008A030000}"/>
    <cellStyle name="20% - Accent6 3 3 3 2" xfId="21898" xr:uid="{88374A06-4E48-4A06-8BBA-F918970FD4EA}"/>
    <cellStyle name="20% - Accent6 3 3 3 3" xfId="13457" xr:uid="{48C65738-602B-41F7-BE47-86AA5BACF8B8}"/>
    <cellStyle name="20% - Accent6 3 3 4" xfId="17680" xr:uid="{199C2786-CC21-41FE-876F-6E22E3E2C376}"/>
    <cellStyle name="20% - Accent6 3 3 5" xfId="9205" xr:uid="{99B231BD-388B-4D2D-A1E3-8A355F910E46}"/>
    <cellStyle name="20% - Accent6 3 4" xfId="1068" xr:uid="{00000000-0005-0000-0000-00008B030000}"/>
    <cellStyle name="20% - Accent6 3 4 2" xfId="3299" xr:uid="{00000000-0005-0000-0000-00008C030000}"/>
    <cellStyle name="20% - Accent6 3 4 2 2" xfId="7521" xr:uid="{00000000-0005-0000-0000-00008D030000}"/>
    <cellStyle name="20% - Accent6 3 4 2 2 2" xfId="24456" xr:uid="{728E2DB6-8BA7-4B1D-8621-BA3801B2A843}"/>
    <cellStyle name="20% - Accent6 3 4 2 2 3" xfId="16015" xr:uid="{DC080F96-6998-4B97-B613-CD77A2092D59}"/>
    <cellStyle name="20% - Accent6 3 4 2 3" xfId="20238" xr:uid="{E57F338F-0066-4F61-B2AF-36A592752D46}"/>
    <cellStyle name="20% - Accent6 3 4 2 4" xfId="11796" xr:uid="{66FFA6EF-0855-4299-95BE-7C15B2DC1DDC}"/>
    <cellStyle name="20% - Accent6 3 4 3" xfId="5376" xr:uid="{00000000-0005-0000-0000-00008E030000}"/>
    <cellStyle name="20% - Accent6 3 4 3 2" xfId="22311" xr:uid="{D5DB3DDB-608C-4116-AB11-1F2BD2FA47D3}"/>
    <cellStyle name="20% - Accent6 3 4 3 3" xfId="13870" xr:uid="{E8571011-B713-443C-A163-88856555868C}"/>
    <cellStyle name="20% - Accent6 3 4 4" xfId="18093" xr:uid="{86F568DA-32C8-4DCE-8C0A-9049CB2B676C}"/>
    <cellStyle name="20% - Accent6 3 4 5" xfId="9619" xr:uid="{93B7416C-95DF-4FC5-AFBB-9539A03D080F}"/>
    <cellStyle name="20% - Accent6 3 5" xfId="1482" xr:uid="{00000000-0005-0000-0000-00008F030000}"/>
    <cellStyle name="20% - Accent6 3 5 2" xfId="3712" xr:uid="{00000000-0005-0000-0000-000090030000}"/>
    <cellStyle name="20% - Accent6 3 5 2 2" xfId="7934" xr:uid="{00000000-0005-0000-0000-000091030000}"/>
    <cellStyle name="20% - Accent6 3 5 2 2 2" xfId="24869" xr:uid="{AEA7D34D-7CBA-4607-8097-DD3E892C50EC}"/>
    <cellStyle name="20% - Accent6 3 5 2 2 3" xfId="16428" xr:uid="{82261242-3E64-4903-98FB-A71101768928}"/>
    <cellStyle name="20% - Accent6 3 5 2 3" xfId="20651" xr:uid="{244DE5BB-6678-4114-879D-A663F19BAD28}"/>
    <cellStyle name="20% - Accent6 3 5 2 4" xfId="12209" xr:uid="{40003D4E-8FEE-4BCB-902F-168D3ADF168A}"/>
    <cellStyle name="20% - Accent6 3 5 3" xfId="5789" xr:uid="{00000000-0005-0000-0000-000092030000}"/>
    <cellStyle name="20% - Accent6 3 5 3 2" xfId="22724" xr:uid="{E41063AB-A096-4ADB-BBF5-5AD374F55F53}"/>
    <cellStyle name="20% - Accent6 3 5 3 3" xfId="14283" xr:uid="{02BC8262-1725-4969-9D2B-8A7F1EDD09E3}"/>
    <cellStyle name="20% - Accent6 3 5 4" xfId="18506" xr:uid="{966494FD-2560-4585-BEF9-A21B70616D57}"/>
    <cellStyle name="20% - Accent6 3 5 5" xfId="10032" xr:uid="{796AB1C8-8B35-4797-A711-4834194B0891}"/>
    <cellStyle name="20% - Accent6 3 6" xfId="1896" xr:uid="{00000000-0005-0000-0000-000093030000}"/>
    <cellStyle name="20% - Accent6 3 6 2" xfId="4125" xr:uid="{00000000-0005-0000-0000-000094030000}"/>
    <cellStyle name="20% - Accent6 3 6 2 2" xfId="8347" xr:uid="{00000000-0005-0000-0000-000095030000}"/>
    <cellStyle name="20% - Accent6 3 6 2 2 2" xfId="25282" xr:uid="{3AC70768-E6E5-40D7-A533-023B2196C32A}"/>
    <cellStyle name="20% - Accent6 3 6 2 2 3" xfId="16841" xr:uid="{2DEFD793-BBE2-4804-890E-08C4DDCA4A19}"/>
    <cellStyle name="20% - Accent6 3 6 2 3" xfId="21064" xr:uid="{478BB513-FA87-4280-A9E9-DB7D71770AF1}"/>
    <cellStyle name="20% - Accent6 3 6 2 4" xfId="12622" xr:uid="{0BE1546E-B9B3-473F-8766-41CBA1BD9B45}"/>
    <cellStyle name="20% - Accent6 3 6 3" xfId="6202" xr:uid="{00000000-0005-0000-0000-000096030000}"/>
    <cellStyle name="20% - Accent6 3 6 3 2" xfId="23137" xr:uid="{95C9C380-D49E-43A6-AAEB-642368DD76CB}"/>
    <cellStyle name="20% - Accent6 3 6 3 3" xfId="14696" xr:uid="{7B35FB8D-EF61-47AF-817C-25E224D041A8}"/>
    <cellStyle name="20% - Accent6 3 6 4" xfId="18919" xr:uid="{56B672F7-4A9B-4CD5-ABE9-B54845EC7E68}"/>
    <cellStyle name="20% - Accent6 3 6 5" xfId="10445" xr:uid="{048274C0-CEE4-4512-8F7F-9F6915932E3C}"/>
    <cellStyle name="20% - Accent6 3 7" xfId="2309" xr:uid="{00000000-0005-0000-0000-000097030000}"/>
    <cellStyle name="20% - Accent6 3 7 2" xfId="6615" xr:uid="{00000000-0005-0000-0000-000098030000}"/>
    <cellStyle name="20% - Accent6 3 7 2 2" xfId="23550" xr:uid="{ADFF63A8-C699-4E4E-9169-CFACDFAAA13F}"/>
    <cellStyle name="20% - Accent6 3 7 2 3" xfId="15109" xr:uid="{63291A24-73AF-4DC1-AE56-C45E7274B977}"/>
    <cellStyle name="20% - Accent6 3 7 3" xfId="19332" xr:uid="{CE41B9CE-42FD-4C3C-B70F-5C36953082E4}"/>
    <cellStyle name="20% - Accent6 3 7 4" xfId="10858" xr:uid="{28F9282B-4047-42C2-8796-180CD14F70FA}"/>
    <cellStyle name="20% - Accent6 3 8" xfId="4549" xr:uid="{00000000-0005-0000-0000-000099030000}"/>
    <cellStyle name="20% - Accent6 3 8 2" xfId="21484" xr:uid="{7677EEAD-9D8A-423E-8C0D-95D25026C337}"/>
    <cellStyle name="20% - Accent6 3 8 3" xfId="13043" xr:uid="{AB0B1EFC-E906-4971-80F5-2A22BD5B9AB0}"/>
    <cellStyle name="20% - Accent6 3 9" xfId="17266" xr:uid="{8EFB2892-0FFB-4942-A847-C8952EB52708}"/>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24045" xr:uid="{1006C34F-9546-4B0D-A66B-6B9125722C5E}"/>
    <cellStyle name="20% - Accent6 4 2 2 2 3" xfId="15604" xr:uid="{644038ED-A107-4BF2-8CE5-DAF111A0B9B9}"/>
    <cellStyle name="20% - Accent6 4 2 2 3" xfId="19827" xr:uid="{674E4CD5-A8BC-439D-8757-7524BF748C5C}"/>
    <cellStyle name="20% - Accent6 4 2 2 4" xfId="11385" xr:uid="{FE25250C-7F69-4B90-82B7-F78AD463A060}"/>
    <cellStyle name="20% - Accent6 4 2 3" xfId="4965" xr:uid="{00000000-0005-0000-0000-00009E030000}"/>
    <cellStyle name="20% - Accent6 4 2 3 2" xfId="21900" xr:uid="{E5C3B354-F660-4920-A420-10628032D69A}"/>
    <cellStyle name="20% - Accent6 4 2 3 3" xfId="13459" xr:uid="{488D27C5-2EE9-43B0-9D65-FD6C0B974246}"/>
    <cellStyle name="20% - Accent6 4 2 4" xfId="17682" xr:uid="{061746FD-6BFD-4D27-810A-B46A4A06E6E7}"/>
    <cellStyle name="20% - Accent6 4 2 5" xfId="9207" xr:uid="{AED3103C-4C25-44CC-941F-3FD72917E3FD}"/>
    <cellStyle name="20% - Accent6 4 3" xfId="1070" xr:uid="{00000000-0005-0000-0000-00009F030000}"/>
    <cellStyle name="20% - Accent6 4 3 2" xfId="3301" xr:uid="{00000000-0005-0000-0000-0000A0030000}"/>
    <cellStyle name="20% - Accent6 4 3 2 2" xfId="7523" xr:uid="{00000000-0005-0000-0000-0000A1030000}"/>
    <cellStyle name="20% - Accent6 4 3 2 2 2" xfId="24458" xr:uid="{CD904443-FBC4-43A9-99BF-F4B7786894A8}"/>
    <cellStyle name="20% - Accent6 4 3 2 2 3" xfId="16017" xr:uid="{A08641EA-E856-4366-AF52-442F437B2FA3}"/>
    <cellStyle name="20% - Accent6 4 3 2 3" xfId="20240" xr:uid="{AF71AA95-D2AA-441E-B9D2-5F79E59F4D6C}"/>
    <cellStyle name="20% - Accent6 4 3 2 4" xfId="11798" xr:uid="{EB9AB569-6309-414F-9F02-01ADC247DB38}"/>
    <cellStyle name="20% - Accent6 4 3 3" xfId="5378" xr:uid="{00000000-0005-0000-0000-0000A2030000}"/>
    <cellStyle name="20% - Accent6 4 3 3 2" xfId="22313" xr:uid="{701D6EC8-B95A-4519-91A1-40F044C87E77}"/>
    <cellStyle name="20% - Accent6 4 3 3 3" xfId="13872" xr:uid="{901385AA-2258-4CCB-89B3-083B69E665A3}"/>
    <cellStyle name="20% - Accent6 4 3 4" xfId="18095" xr:uid="{E034E5B7-FC06-464A-A6BD-90E4C983CD93}"/>
    <cellStyle name="20% - Accent6 4 3 5" xfId="9621" xr:uid="{6794AA68-69A8-4832-9C69-731BD3ED4735}"/>
    <cellStyle name="20% - Accent6 4 4" xfId="1484" xr:uid="{00000000-0005-0000-0000-0000A3030000}"/>
    <cellStyle name="20% - Accent6 4 4 2" xfId="3714" xr:uid="{00000000-0005-0000-0000-0000A4030000}"/>
    <cellStyle name="20% - Accent6 4 4 2 2" xfId="7936" xr:uid="{00000000-0005-0000-0000-0000A5030000}"/>
    <cellStyle name="20% - Accent6 4 4 2 2 2" xfId="24871" xr:uid="{6F1F1DA2-FC01-4F1D-ACF5-F77D79777615}"/>
    <cellStyle name="20% - Accent6 4 4 2 2 3" xfId="16430" xr:uid="{3DBCC04E-C0D0-44AC-BFB3-5708E3D9643F}"/>
    <cellStyle name="20% - Accent6 4 4 2 3" xfId="20653" xr:uid="{76EBC451-AF38-45A9-BA6E-222A807F0671}"/>
    <cellStyle name="20% - Accent6 4 4 2 4" xfId="12211" xr:uid="{63B0EF24-2FAE-490A-B043-61AB15B52C5A}"/>
    <cellStyle name="20% - Accent6 4 4 3" xfId="5791" xr:uid="{00000000-0005-0000-0000-0000A6030000}"/>
    <cellStyle name="20% - Accent6 4 4 3 2" xfId="22726" xr:uid="{4FDD3DB7-CA4E-4703-9181-9D1F6678EB0A}"/>
    <cellStyle name="20% - Accent6 4 4 3 3" xfId="14285" xr:uid="{B7933364-AF0D-4B08-84CC-7B8822B71050}"/>
    <cellStyle name="20% - Accent6 4 4 4" xfId="18508" xr:uid="{E4783F7D-4778-4096-B4E7-6E67628707BE}"/>
    <cellStyle name="20% - Accent6 4 4 5" xfId="10034" xr:uid="{65AEE009-0B44-4BB6-8FBA-8BF671FAD99B}"/>
    <cellStyle name="20% - Accent6 4 5" xfId="1898" xr:uid="{00000000-0005-0000-0000-0000A7030000}"/>
    <cellStyle name="20% - Accent6 4 5 2" xfId="4127" xr:uid="{00000000-0005-0000-0000-0000A8030000}"/>
    <cellStyle name="20% - Accent6 4 5 2 2" xfId="8349" xr:uid="{00000000-0005-0000-0000-0000A9030000}"/>
    <cellStyle name="20% - Accent6 4 5 2 2 2" xfId="25284" xr:uid="{89E00720-43AB-4878-A6FE-CCAC6DF2F766}"/>
    <cellStyle name="20% - Accent6 4 5 2 2 3" xfId="16843" xr:uid="{27ACDD43-275D-4814-9700-C3CC167D9BB4}"/>
    <cellStyle name="20% - Accent6 4 5 2 3" xfId="21066" xr:uid="{31E82FD2-7111-4E96-B807-55F7F5A573E3}"/>
    <cellStyle name="20% - Accent6 4 5 2 4" xfId="12624" xr:uid="{A27F238D-F826-42A4-AAA8-ABF4357460EB}"/>
    <cellStyle name="20% - Accent6 4 5 3" xfId="6204" xr:uid="{00000000-0005-0000-0000-0000AA030000}"/>
    <cellStyle name="20% - Accent6 4 5 3 2" xfId="23139" xr:uid="{539F9842-2BD6-4648-8EA0-349733FE875E}"/>
    <cellStyle name="20% - Accent6 4 5 3 3" xfId="14698" xr:uid="{FFF4C6FB-8D82-4943-9AEB-70F1F1F5594F}"/>
    <cellStyle name="20% - Accent6 4 5 4" xfId="18921" xr:uid="{5FCC2061-F849-4C54-947B-9E4B0DBB4CFC}"/>
    <cellStyle name="20% - Accent6 4 5 5" xfId="10447" xr:uid="{BD6CB21D-4E03-499E-9B46-154692B06543}"/>
    <cellStyle name="20% - Accent6 4 6" xfId="2311" xr:uid="{00000000-0005-0000-0000-0000AB030000}"/>
    <cellStyle name="20% - Accent6 4 6 2" xfId="6617" xr:uid="{00000000-0005-0000-0000-0000AC030000}"/>
    <cellStyle name="20% - Accent6 4 6 2 2" xfId="23552" xr:uid="{250DB95F-7EF5-4644-BD9C-F65EEB28D8F3}"/>
    <cellStyle name="20% - Accent6 4 6 2 3" xfId="15111" xr:uid="{B1718DB7-3327-45B9-906C-1A19DDE7438D}"/>
    <cellStyle name="20% - Accent6 4 6 3" xfId="19334" xr:uid="{56DD5E4B-A162-4388-AE5E-FF4230E98280}"/>
    <cellStyle name="20% - Accent6 4 6 4" xfId="10860" xr:uid="{FF6CFB9A-7AAB-4229-8CB3-F43AD4226793}"/>
    <cellStyle name="20% - Accent6 4 7" xfId="4551" xr:uid="{00000000-0005-0000-0000-0000AD030000}"/>
    <cellStyle name="20% - Accent6 4 7 2" xfId="21486" xr:uid="{2ABA8D48-1F9E-4925-A9BC-A8F2077584C2}"/>
    <cellStyle name="20% - Accent6 4 7 3" xfId="13045" xr:uid="{821485CB-F6F8-46BA-AF65-C70C18EDCA7B}"/>
    <cellStyle name="20% - Accent6 4 8" xfId="17268" xr:uid="{20C6430F-FD7E-4BF1-8674-BB5A81C65150}"/>
    <cellStyle name="20% - Accent6 4 9" xfId="8783" xr:uid="{69161F59-74A6-40DE-949E-BD852FC5122B}"/>
    <cellStyle name="20% - Accent6 5" xfId="610" xr:uid="{00000000-0005-0000-0000-0000AE030000}"/>
    <cellStyle name="20% - Accent6 5 2" xfId="2881" xr:uid="{00000000-0005-0000-0000-0000AF030000}"/>
    <cellStyle name="20% - Accent6 5 2 2" xfId="7103" xr:uid="{00000000-0005-0000-0000-0000B0030000}"/>
    <cellStyle name="20% - Accent6 5 2 2 2" xfId="24038" xr:uid="{E22FA367-AA22-44D7-A12C-1AB43276DA86}"/>
    <cellStyle name="20% - Accent6 5 2 2 3" xfId="15597" xr:uid="{1BFC734C-683F-443B-8080-8D364C34CA98}"/>
    <cellStyle name="20% - Accent6 5 2 3" xfId="19820" xr:uid="{DC4CC27F-72A9-4E6D-9593-DD41F45D1EF3}"/>
    <cellStyle name="20% - Accent6 5 2 4" xfId="11378" xr:uid="{D97D2CF9-C012-4861-B989-1A15287B062A}"/>
    <cellStyle name="20% - Accent6 5 3" xfId="4958" xr:uid="{00000000-0005-0000-0000-0000B1030000}"/>
    <cellStyle name="20% - Accent6 5 3 2" xfId="21893" xr:uid="{4407C6FE-A6CF-4398-B77C-0E714860C966}"/>
    <cellStyle name="20% - Accent6 5 3 3" xfId="13452" xr:uid="{83DD7284-8D43-49C8-88F5-FADA829FC266}"/>
    <cellStyle name="20% - Accent6 5 4" xfId="17675" xr:uid="{0E3A75F8-CA7E-45D6-8B2D-392C7C9861FD}"/>
    <cellStyle name="20% - Accent6 5 5" xfId="9200" xr:uid="{AFD74BBD-75C5-4583-A8C9-3F54E8B181A3}"/>
    <cellStyle name="20% - Accent6 6" xfId="1063" xr:uid="{00000000-0005-0000-0000-0000B2030000}"/>
    <cellStyle name="20% - Accent6 6 2" xfId="3294" xr:uid="{00000000-0005-0000-0000-0000B3030000}"/>
    <cellStyle name="20% - Accent6 6 2 2" xfId="7516" xr:uid="{00000000-0005-0000-0000-0000B4030000}"/>
    <cellStyle name="20% - Accent6 6 2 2 2" xfId="24451" xr:uid="{977E994E-9B5F-491E-935C-9F346AFC78B4}"/>
    <cellStyle name="20% - Accent6 6 2 2 3" xfId="16010" xr:uid="{6C7BF428-1A1C-4CA0-9959-1EEF18B36E12}"/>
    <cellStyle name="20% - Accent6 6 2 3" xfId="20233" xr:uid="{978F932C-4229-4308-ACE2-0A448A8DE32B}"/>
    <cellStyle name="20% - Accent6 6 2 4" xfId="11791" xr:uid="{C7DC1F17-E0FE-458A-B20C-DC45878F3F22}"/>
    <cellStyle name="20% - Accent6 6 3" xfId="5371" xr:uid="{00000000-0005-0000-0000-0000B5030000}"/>
    <cellStyle name="20% - Accent6 6 3 2" xfId="22306" xr:uid="{F801F724-9DAC-4215-A73A-E651D603C484}"/>
    <cellStyle name="20% - Accent6 6 3 3" xfId="13865" xr:uid="{414004E7-EEB0-49C1-B609-210223C7766F}"/>
    <cellStyle name="20% - Accent6 6 4" xfId="18088" xr:uid="{6BB3A554-9114-4114-8CC2-825D92351A31}"/>
    <cellStyle name="20% - Accent6 6 5" xfId="9614" xr:uid="{F1EA8E9F-1B49-4EB7-97FD-D45DD53D1327}"/>
    <cellStyle name="20% - Accent6 7" xfId="1477" xr:uid="{00000000-0005-0000-0000-0000B6030000}"/>
    <cellStyle name="20% - Accent6 7 2" xfId="3707" xr:uid="{00000000-0005-0000-0000-0000B7030000}"/>
    <cellStyle name="20% - Accent6 7 2 2" xfId="7929" xr:uid="{00000000-0005-0000-0000-0000B8030000}"/>
    <cellStyle name="20% - Accent6 7 2 2 2" xfId="24864" xr:uid="{BF6595BF-149B-43C5-B7C9-24BAB8F5EADF}"/>
    <cellStyle name="20% - Accent6 7 2 2 3" xfId="16423" xr:uid="{D1238535-1084-4D1B-91F7-CA0A5CB144B0}"/>
    <cellStyle name="20% - Accent6 7 2 3" xfId="20646" xr:uid="{0FAB81BB-52BE-4607-ADD9-AFB7302C8379}"/>
    <cellStyle name="20% - Accent6 7 2 4" xfId="12204" xr:uid="{560F26AF-17B6-4B0D-8821-8B2552E62B7F}"/>
    <cellStyle name="20% - Accent6 7 3" xfId="5784" xr:uid="{00000000-0005-0000-0000-0000B9030000}"/>
    <cellStyle name="20% - Accent6 7 3 2" xfId="22719" xr:uid="{03FB79D7-03FF-45A7-BCC3-336AB078BA37}"/>
    <cellStyle name="20% - Accent6 7 3 3" xfId="14278" xr:uid="{024D18FC-5B06-4A73-844F-51D068CC7C21}"/>
    <cellStyle name="20% - Accent6 7 4" xfId="18501" xr:uid="{F4C74020-3B1A-49FB-A5B2-A9EBADA89259}"/>
    <cellStyle name="20% - Accent6 7 5" xfId="10027" xr:uid="{36F6AAE7-506B-41B1-AD56-CF3C7141FF4A}"/>
    <cellStyle name="20% - Accent6 8" xfId="1891" xr:uid="{00000000-0005-0000-0000-0000BA030000}"/>
    <cellStyle name="20% - Accent6 8 2" xfId="4120" xr:uid="{00000000-0005-0000-0000-0000BB030000}"/>
    <cellStyle name="20% - Accent6 8 2 2" xfId="8342" xr:uid="{00000000-0005-0000-0000-0000BC030000}"/>
    <cellStyle name="20% - Accent6 8 2 2 2" xfId="25277" xr:uid="{33AC5A64-6E52-45F5-975B-770E235550EC}"/>
    <cellStyle name="20% - Accent6 8 2 2 3" xfId="16836" xr:uid="{479C3816-F40C-416D-9071-DF175401BC7F}"/>
    <cellStyle name="20% - Accent6 8 2 3" xfId="21059" xr:uid="{CDD93989-E2EB-4CF3-854B-36D6CC02A11B}"/>
    <cellStyle name="20% - Accent6 8 2 4" xfId="12617" xr:uid="{662D58FD-3069-4E21-A791-255F0AAED5D7}"/>
    <cellStyle name="20% - Accent6 8 3" xfId="6197" xr:uid="{00000000-0005-0000-0000-0000BD030000}"/>
    <cellStyle name="20% - Accent6 8 3 2" xfId="23132" xr:uid="{02570516-B5DE-4FC9-A1AF-7F376EC5D0C0}"/>
    <cellStyle name="20% - Accent6 8 3 3" xfId="14691" xr:uid="{E49C3C0D-D5C5-44FB-B0B2-A81B347EE8B7}"/>
    <cellStyle name="20% - Accent6 8 4" xfId="18914" xr:uid="{4A1CE151-71D5-4FD3-95F2-9438BF498D89}"/>
    <cellStyle name="20% - Accent6 8 5" xfId="10440" xr:uid="{78F9DBE6-4910-44B9-89E5-1678F6CBDE7B}"/>
    <cellStyle name="20% - Accent6 9" xfId="2304" xr:uid="{00000000-0005-0000-0000-0000BE030000}"/>
    <cellStyle name="20% - Accent6 9 2" xfId="6610" xr:uid="{00000000-0005-0000-0000-0000BF030000}"/>
    <cellStyle name="20% - Accent6 9 2 2" xfId="23545" xr:uid="{CB28C2B9-A60B-4E6E-A4DA-B4D409CFDBB5}"/>
    <cellStyle name="20% - Accent6 9 2 3" xfId="15104" xr:uid="{DA3D3BAB-D271-4E6D-9597-BF186C8810E4}"/>
    <cellStyle name="20% - Accent6 9 3" xfId="19327" xr:uid="{80041AAE-A099-4779-9D2D-962AF10B5CA1}"/>
    <cellStyle name="20% - Accent6 9 4" xfId="10853" xr:uid="{EFC6AA39-F206-4977-BDAC-66BA992AD5A4}"/>
    <cellStyle name="40% - Accent1" xfId="49" builtinId="31" customBuiltin="1"/>
    <cellStyle name="40% - Accent1 10" xfId="4552" xr:uid="{00000000-0005-0000-0000-0000C1030000}"/>
    <cellStyle name="40% - Accent1 10 2" xfId="21487" xr:uid="{C862427D-CA03-4798-BD9F-D7F8D8F596B5}"/>
    <cellStyle name="40% - Accent1 10 3" xfId="13046" xr:uid="{090E7778-B930-4AFC-B39E-D4165EECCE5F}"/>
    <cellStyle name="40% - Accent1 11" xfId="17269" xr:uid="{A97CAA43-D8EF-4ECE-9A60-B2F18AA63288}"/>
    <cellStyle name="40% - Accent1 12" xfId="8784" xr:uid="{7E65D579-D477-4FFA-AABF-A32D82AC1DB4}"/>
    <cellStyle name="40% - Accent1 2" xfId="50" xr:uid="{00000000-0005-0000-0000-0000C2030000}"/>
    <cellStyle name="40% - Accent1 2 10" xfId="17270" xr:uid="{86FF45F6-ACFD-45A2-909B-C302FCC768AA}"/>
    <cellStyle name="40% - Accent1 2 11" xfId="8785" xr:uid="{46EA36CB-5BC7-4EDB-BFD2-A039DDCFBEDD}"/>
    <cellStyle name="40% - Accent1 2 2" xfId="51" xr:uid="{00000000-0005-0000-0000-0000C3030000}"/>
    <cellStyle name="40% - Accent1 2 2 10" xfId="8786" xr:uid="{81A1AA22-D38B-432F-BF3B-97DBC8B36BE9}"/>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049" xr:uid="{ABA2E115-E530-4A23-A17E-F399D58E2034}"/>
    <cellStyle name="40% - Accent1 2 2 2 2 2 2 3" xfId="15608" xr:uid="{47283B3B-2267-44E0-85F1-66EB45BF8DBC}"/>
    <cellStyle name="40% - Accent1 2 2 2 2 2 3" xfId="19831" xr:uid="{5D1317E0-596D-4A08-B745-A64D83079DA9}"/>
    <cellStyle name="40% - Accent1 2 2 2 2 2 4" xfId="11389" xr:uid="{8EFE4487-A526-47D0-BEA7-5C0A01838C1D}"/>
    <cellStyle name="40% - Accent1 2 2 2 2 3" xfId="4969" xr:uid="{00000000-0005-0000-0000-0000C8030000}"/>
    <cellStyle name="40% - Accent1 2 2 2 2 3 2" xfId="21904" xr:uid="{3070CF92-1B3F-4252-8570-1C69CD685ABF}"/>
    <cellStyle name="40% - Accent1 2 2 2 2 3 3" xfId="13463" xr:uid="{2A9527E6-5811-4570-9B3A-5143F1899C8C}"/>
    <cellStyle name="40% - Accent1 2 2 2 2 4" xfId="17686" xr:uid="{89DD21A0-AEF9-40CF-93CE-AC10CBAA6898}"/>
    <cellStyle name="40% - Accent1 2 2 2 2 5" xfId="9211" xr:uid="{83655801-B725-462E-814B-8D676C89B7C9}"/>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4462" xr:uid="{037AF9C5-7A95-4315-BC45-1E5D9A423547}"/>
    <cellStyle name="40% - Accent1 2 2 2 3 2 2 3" xfId="16021" xr:uid="{9E462FBA-3204-4398-8CA2-4F83BA2F83FF}"/>
    <cellStyle name="40% - Accent1 2 2 2 3 2 3" xfId="20244" xr:uid="{F37DF158-F53C-4541-89F5-D7CA9BC866A5}"/>
    <cellStyle name="40% - Accent1 2 2 2 3 2 4" xfId="11802" xr:uid="{E1DAA4F2-2E84-4315-B4B2-738131CFF794}"/>
    <cellStyle name="40% - Accent1 2 2 2 3 3" xfId="5382" xr:uid="{00000000-0005-0000-0000-0000CC030000}"/>
    <cellStyle name="40% - Accent1 2 2 2 3 3 2" xfId="22317" xr:uid="{11324767-FDA9-486B-86FF-3D6C6946B069}"/>
    <cellStyle name="40% - Accent1 2 2 2 3 3 3" xfId="13876" xr:uid="{E56F8661-998E-4FAF-A523-4B33C5BA8604}"/>
    <cellStyle name="40% - Accent1 2 2 2 3 4" xfId="18099" xr:uid="{9D1AF900-2D59-4C0B-8F45-F0DAED10D058}"/>
    <cellStyle name="40% - Accent1 2 2 2 3 5" xfId="9625" xr:uid="{2A7336A9-54A1-4092-BA5B-3E24FFDA9AD5}"/>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4875" xr:uid="{2D0B6CE2-B62D-4AB4-8AF2-E8721329C43C}"/>
    <cellStyle name="40% - Accent1 2 2 2 4 2 2 3" xfId="16434" xr:uid="{B9B02FC1-0C1F-4306-9C7A-910A8870A2BA}"/>
    <cellStyle name="40% - Accent1 2 2 2 4 2 3" xfId="20657" xr:uid="{E47239A9-B06C-4964-B448-D5A4E1949AD7}"/>
    <cellStyle name="40% - Accent1 2 2 2 4 2 4" xfId="12215" xr:uid="{3022C724-F271-48AB-BDE9-DCEE946C675C}"/>
    <cellStyle name="40% - Accent1 2 2 2 4 3" xfId="5795" xr:uid="{00000000-0005-0000-0000-0000D0030000}"/>
    <cellStyle name="40% - Accent1 2 2 2 4 3 2" xfId="22730" xr:uid="{252C5B9E-F247-40B9-B882-BDD9D2128B44}"/>
    <cellStyle name="40% - Accent1 2 2 2 4 3 3" xfId="14289" xr:uid="{507E5E8C-791A-4E1B-A213-11B178184340}"/>
    <cellStyle name="40% - Accent1 2 2 2 4 4" xfId="18512" xr:uid="{98496D49-E84E-45AB-A5B0-B8033F0B68EF}"/>
    <cellStyle name="40% - Accent1 2 2 2 4 5" xfId="10038" xr:uid="{65534653-C1CF-49CF-9FA0-1BB121ECA46A}"/>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5288" xr:uid="{E8888939-7C19-431E-AB21-C064FBA96117}"/>
    <cellStyle name="40% - Accent1 2 2 2 5 2 2 3" xfId="16847" xr:uid="{BBA097C3-4BD6-4979-A7B8-58686F1B6166}"/>
    <cellStyle name="40% - Accent1 2 2 2 5 2 3" xfId="21070" xr:uid="{A69F3C7F-505F-4A8B-A1BD-1FD1B5BCF3C1}"/>
    <cellStyle name="40% - Accent1 2 2 2 5 2 4" xfId="12628" xr:uid="{42F2E6C1-9E47-4E97-8A22-92BDB1EC73D3}"/>
    <cellStyle name="40% - Accent1 2 2 2 5 3" xfId="6208" xr:uid="{00000000-0005-0000-0000-0000D4030000}"/>
    <cellStyle name="40% - Accent1 2 2 2 5 3 2" xfId="23143" xr:uid="{A912D25E-634A-4946-90EA-8259A3A7062E}"/>
    <cellStyle name="40% - Accent1 2 2 2 5 3 3" xfId="14702" xr:uid="{A6139991-E1A5-44DE-9A43-9ECC1E320688}"/>
    <cellStyle name="40% - Accent1 2 2 2 5 4" xfId="18925" xr:uid="{6BEE7C3B-67BA-47D6-B58B-6406B516251B}"/>
    <cellStyle name="40% - Accent1 2 2 2 5 5" xfId="10451" xr:uid="{EAF2FC06-695A-413B-B428-C14DD9B9FB69}"/>
    <cellStyle name="40% - Accent1 2 2 2 6" xfId="2315" xr:uid="{00000000-0005-0000-0000-0000D5030000}"/>
    <cellStyle name="40% - Accent1 2 2 2 6 2" xfId="6621" xr:uid="{00000000-0005-0000-0000-0000D6030000}"/>
    <cellStyle name="40% - Accent1 2 2 2 6 2 2" xfId="23556" xr:uid="{E0C61688-8531-4CE7-85B2-AF888A2E8C81}"/>
    <cellStyle name="40% - Accent1 2 2 2 6 2 3" xfId="15115" xr:uid="{0D31D118-35CD-477D-9B47-2810A1566A56}"/>
    <cellStyle name="40% - Accent1 2 2 2 6 3" xfId="19338" xr:uid="{BBE496B3-EC8E-48ED-80C3-35E946D9BFF3}"/>
    <cellStyle name="40% - Accent1 2 2 2 6 4" xfId="10864" xr:uid="{AD49356F-49DF-4C9A-8B39-62216E9D5B8D}"/>
    <cellStyle name="40% - Accent1 2 2 2 7" xfId="4555" xr:uid="{00000000-0005-0000-0000-0000D7030000}"/>
    <cellStyle name="40% - Accent1 2 2 2 7 2" xfId="21490" xr:uid="{4CF48950-FCD1-42D0-AD97-EA04E31D1F2F}"/>
    <cellStyle name="40% - Accent1 2 2 2 7 3" xfId="13049" xr:uid="{2EBA9FE8-332E-4495-8D0C-13632D846926}"/>
    <cellStyle name="40% - Accent1 2 2 2 8" xfId="17272" xr:uid="{1FA28721-2456-4377-B86E-0FE252E43621}"/>
    <cellStyle name="40% - Accent1 2 2 2 9" xfId="8787" xr:uid="{4A3F6F5B-DDD3-41C1-BA26-0FEED09B90A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048" xr:uid="{E86A008F-2D48-43FF-BED1-E12386BA977F}"/>
    <cellStyle name="40% - Accent1 2 2 3 2 2 3" xfId="15607" xr:uid="{6EB2E56E-8564-46E1-AF8F-E20B1FCF3E8B}"/>
    <cellStyle name="40% - Accent1 2 2 3 2 3" xfId="19830" xr:uid="{7973E190-969A-4176-920E-2A148E81EAD2}"/>
    <cellStyle name="40% - Accent1 2 2 3 2 4" xfId="11388" xr:uid="{351EE3A3-11EF-46D2-81E9-235262E5F6A2}"/>
    <cellStyle name="40% - Accent1 2 2 3 3" xfId="4968" xr:uid="{00000000-0005-0000-0000-0000DB030000}"/>
    <cellStyle name="40% - Accent1 2 2 3 3 2" xfId="21903" xr:uid="{D493DAEC-255E-4383-8D0A-6CA4559BD4C9}"/>
    <cellStyle name="40% - Accent1 2 2 3 3 3" xfId="13462" xr:uid="{8C61D5C3-D4F5-4016-B9E4-C5CC80D9B511}"/>
    <cellStyle name="40% - Accent1 2 2 3 4" xfId="17685" xr:uid="{60840ACE-F761-4962-8EB3-667283BAFAD9}"/>
    <cellStyle name="40% - Accent1 2 2 3 5" xfId="9210" xr:uid="{39A9C2BF-35B5-445E-B849-7AAA1059D91D}"/>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4461" xr:uid="{BCE3ED30-8451-4270-A963-AD7CF3BF9889}"/>
    <cellStyle name="40% - Accent1 2 2 4 2 2 3" xfId="16020" xr:uid="{F118AFCF-9E2E-479C-B691-016EDEBF309B}"/>
    <cellStyle name="40% - Accent1 2 2 4 2 3" xfId="20243" xr:uid="{384B1A66-B403-4239-AD42-1BF841255D0E}"/>
    <cellStyle name="40% - Accent1 2 2 4 2 4" xfId="11801" xr:uid="{6E874260-6171-4FA1-BADD-FAE3407A5280}"/>
    <cellStyle name="40% - Accent1 2 2 4 3" xfId="5381" xr:uid="{00000000-0005-0000-0000-0000DF030000}"/>
    <cellStyle name="40% - Accent1 2 2 4 3 2" xfId="22316" xr:uid="{332CE465-E76A-434D-8111-31773DCC41C9}"/>
    <cellStyle name="40% - Accent1 2 2 4 3 3" xfId="13875" xr:uid="{95F62054-1769-4EF7-B80F-5D9A12440818}"/>
    <cellStyle name="40% - Accent1 2 2 4 4" xfId="18098" xr:uid="{D9F3C7DB-C5D5-4EC2-B46F-16B3D0C5D743}"/>
    <cellStyle name="40% - Accent1 2 2 4 5" xfId="9624" xr:uid="{8A6BCBB0-9B10-4B3F-844B-EAEA24AC144E}"/>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4874" xr:uid="{F8825A88-54A7-436C-ABD7-2173978EDA6C}"/>
    <cellStyle name="40% - Accent1 2 2 5 2 2 3" xfId="16433" xr:uid="{1B637DAE-8E72-4439-84CE-DACE0A4E21F5}"/>
    <cellStyle name="40% - Accent1 2 2 5 2 3" xfId="20656" xr:uid="{87A5CDA4-130A-48FF-B2E0-5DEDA87F140F}"/>
    <cellStyle name="40% - Accent1 2 2 5 2 4" xfId="12214" xr:uid="{28DAE75F-388B-4973-BECF-E9912411F210}"/>
    <cellStyle name="40% - Accent1 2 2 5 3" xfId="5794" xr:uid="{00000000-0005-0000-0000-0000E3030000}"/>
    <cellStyle name="40% - Accent1 2 2 5 3 2" xfId="22729" xr:uid="{5028B8E2-19CA-4AD0-BD25-59ECECE11D5E}"/>
    <cellStyle name="40% - Accent1 2 2 5 3 3" xfId="14288" xr:uid="{9ECFB6FF-D730-4BA4-AE39-CE5D2A337438}"/>
    <cellStyle name="40% - Accent1 2 2 5 4" xfId="18511" xr:uid="{86F44D0A-703F-4D8F-843E-844CC1596B12}"/>
    <cellStyle name="40% - Accent1 2 2 5 5" xfId="10037" xr:uid="{11D4FD74-CF56-4D46-9559-BE8F7491A795}"/>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5287" xr:uid="{32306355-D893-4B55-AC73-E5598AF394C5}"/>
    <cellStyle name="40% - Accent1 2 2 6 2 2 3" xfId="16846" xr:uid="{BE04B8AB-7994-488C-8FA1-07D3C07FDF2C}"/>
    <cellStyle name="40% - Accent1 2 2 6 2 3" xfId="21069" xr:uid="{7C76EAC7-4AE1-413E-838D-D405A3A52E85}"/>
    <cellStyle name="40% - Accent1 2 2 6 2 4" xfId="12627" xr:uid="{CF4A225C-075E-4F5A-9595-9E5213533F48}"/>
    <cellStyle name="40% - Accent1 2 2 6 3" xfId="6207" xr:uid="{00000000-0005-0000-0000-0000E7030000}"/>
    <cellStyle name="40% - Accent1 2 2 6 3 2" xfId="23142" xr:uid="{A852DE2C-915E-4F6C-A502-181CD2AA8935}"/>
    <cellStyle name="40% - Accent1 2 2 6 3 3" xfId="14701" xr:uid="{9465B7A2-533D-427E-AA6E-75854BF783BA}"/>
    <cellStyle name="40% - Accent1 2 2 6 4" xfId="18924" xr:uid="{E067EFA4-09A2-41D5-93AB-E4B74B727061}"/>
    <cellStyle name="40% - Accent1 2 2 6 5" xfId="10450" xr:uid="{23FE45B2-58CA-47B8-9417-0CD93BBFD438}"/>
    <cellStyle name="40% - Accent1 2 2 7" xfId="2314" xr:uid="{00000000-0005-0000-0000-0000E8030000}"/>
    <cellStyle name="40% - Accent1 2 2 7 2" xfId="6620" xr:uid="{00000000-0005-0000-0000-0000E9030000}"/>
    <cellStyle name="40% - Accent1 2 2 7 2 2" xfId="23555" xr:uid="{F6AFEC81-E670-46BF-BA89-C7FD4A057F67}"/>
    <cellStyle name="40% - Accent1 2 2 7 2 3" xfId="15114" xr:uid="{4C3603B2-3FC2-409A-B407-3E3DF230DD35}"/>
    <cellStyle name="40% - Accent1 2 2 7 3" xfId="19337" xr:uid="{AFC8268B-BD64-43AC-9ED7-2A80BFA9EFEC}"/>
    <cellStyle name="40% - Accent1 2 2 7 4" xfId="10863" xr:uid="{33E674A7-BF61-4535-ABAB-E221DE61602C}"/>
    <cellStyle name="40% - Accent1 2 2 8" xfId="4554" xr:uid="{00000000-0005-0000-0000-0000EA030000}"/>
    <cellStyle name="40% - Accent1 2 2 8 2" xfId="21489" xr:uid="{CA071CC7-0F98-482F-B1D0-9E46AE215C86}"/>
    <cellStyle name="40% - Accent1 2 2 8 3" xfId="13048" xr:uid="{3865E989-67D9-40FA-8DC1-ABA1FDA0941B}"/>
    <cellStyle name="40% - Accent1 2 2 9" xfId="17271" xr:uid="{78979039-5368-4E57-9629-782B203D46F9}"/>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050" xr:uid="{76D7F5A6-D0E2-436F-93CA-A19AE2BC3917}"/>
    <cellStyle name="40% - Accent1 2 3 2 2 2 3" xfId="15609" xr:uid="{ED558BDD-6E50-4C20-802A-A8B3CB7ED8EA}"/>
    <cellStyle name="40% - Accent1 2 3 2 2 3" xfId="19832" xr:uid="{F112D4AC-BFCA-4131-9542-E13503459FE5}"/>
    <cellStyle name="40% - Accent1 2 3 2 2 4" xfId="11390" xr:uid="{3DEFD813-D2B8-4F92-BE7A-2BDBD731FA7B}"/>
    <cellStyle name="40% - Accent1 2 3 2 3" xfId="4970" xr:uid="{00000000-0005-0000-0000-0000EF030000}"/>
    <cellStyle name="40% - Accent1 2 3 2 3 2" xfId="21905" xr:uid="{90483645-535D-4DE6-93D8-665DC43B8ED9}"/>
    <cellStyle name="40% - Accent1 2 3 2 3 3" xfId="13464" xr:uid="{D55AF6C6-3834-4BCB-B514-792AB4F6D38A}"/>
    <cellStyle name="40% - Accent1 2 3 2 4" xfId="17687" xr:uid="{4F6707C9-D56A-457A-936B-1770E567A3CE}"/>
    <cellStyle name="40% - Accent1 2 3 2 5" xfId="9212" xr:uid="{ECC5B3A6-07C0-412F-AFAE-658112E54207}"/>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4463" xr:uid="{AABD3E4C-1A62-4FD9-997B-D010FE3606F4}"/>
    <cellStyle name="40% - Accent1 2 3 3 2 2 3" xfId="16022" xr:uid="{094CBAE0-9E20-4488-ACFE-0A514980016F}"/>
    <cellStyle name="40% - Accent1 2 3 3 2 3" xfId="20245" xr:uid="{FFC91CE7-2347-481B-96C6-17F69E2C5313}"/>
    <cellStyle name="40% - Accent1 2 3 3 2 4" xfId="11803" xr:uid="{D9CA679D-2134-416B-BE19-55A1E0CF73DC}"/>
    <cellStyle name="40% - Accent1 2 3 3 3" xfId="5383" xr:uid="{00000000-0005-0000-0000-0000F3030000}"/>
    <cellStyle name="40% - Accent1 2 3 3 3 2" xfId="22318" xr:uid="{F5B260B1-44AE-4CBE-B6B0-6467192395C8}"/>
    <cellStyle name="40% - Accent1 2 3 3 3 3" xfId="13877" xr:uid="{028A4EDF-C72E-480C-A4DA-2D09ABB34ACE}"/>
    <cellStyle name="40% - Accent1 2 3 3 4" xfId="18100" xr:uid="{2491BD1D-6EFD-43BD-8730-B5DDC3F6C8BE}"/>
    <cellStyle name="40% - Accent1 2 3 3 5" xfId="9626" xr:uid="{EDF47F27-4B01-49B3-BC7C-D237EE7EE537}"/>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4876" xr:uid="{2F6D0409-3D0B-46E2-8F00-B4A76B5EB79E}"/>
    <cellStyle name="40% - Accent1 2 3 4 2 2 3" xfId="16435" xr:uid="{80FF65C6-D84C-4FA3-863B-52C5A1847248}"/>
    <cellStyle name="40% - Accent1 2 3 4 2 3" xfId="20658" xr:uid="{29C63FF6-CB54-4BEE-A292-48911C3B38ED}"/>
    <cellStyle name="40% - Accent1 2 3 4 2 4" xfId="12216" xr:uid="{2944FE55-39FA-4F81-8482-A21FF11B2B9E}"/>
    <cellStyle name="40% - Accent1 2 3 4 3" xfId="5796" xr:uid="{00000000-0005-0000-0000-0000F7030000}"/>
    <cellStyle name="40% - Accent1 2 3 4 3 2" xfId="22731" xr:uid="{16DB690E-B919-4C18-AB18-2EAFD057B605}"/>
    <cellStyle name="40% - Accent1 2 3 4 3 3" xfId="14290" xr:uid="{44D367B5-76EB-4A28-BB44-96CC6539AA0A}"/>
    <cellStyle name="40% - Accent1 2 3 4 4" xfId="18513" xr:uid="{95DB4EC1-22CA-465D-987D-2AAD782520E7}"/>
    <cellStyle name="40% - Accent1 2 3 4 5" xfId="10039" xr:uid="{C279C9E9-DB0A-43B8-B4FC-EADADC2A05E4}"/>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5289" xr:uid="{5A460226-EB9C-4202-BA44-6EC7F3249133}"/>
    <cellStyle name="40% - Accent1 2 3 5 2 2 3" xfId="16848" xr:uid="{507C156B-6FEB-4BC6-A14F-8CD52924A83E}"/>
    <cellStyle name="40% - Accent1 2 3 5 2 3" xfId="21071" xr:uid="{89861ED0-FC6D-4ED1-AB89-F773CBAC2009}"/>
    <cellStyle name="40% - Accent1 2 3 5 2 4" xfId="12629" xr:uid="{FB5A9ACD-A7B5-46DA-ABC0-DFB3C6112586}"/>
    <cellStyle name="40% - Accent1 2 3 5 3" xfId="6209" xr:uid="{00000000-0005-0000-0000-0000FB030000}"/>
    <cellStyle name="40% - Accent1 2 3 5 3 2" xfId="23144" xr:uid="{617FCDA1-D205-4D63-96DA-7C67AAD63F72}"/>
    <cellStyle name="40% - Accent1 2 3 5 3 3" xfId="14703" xr:uid="{536604C7-1BE1-4403-9944-51D9368B82F0}"/>
    <cellStyle name="40% - Accent1 2 3 5 4" xfId="18926" xr:uid="{1DD02507-AA32-4FE7-982A-4350C44B9E02}"/>
    <cellStyle name="40% - Accent1 2 3 5 5" xfId="10452" xr:uid="{7B60EE7B-034A-410A-B552-5839F6E2312B}"/>
    <cellStyle name="40% - Accent1 2 3 6" xfId="2316" xr:uid="{00000000-0005-0000-0000-0000FC030000}"/>
    <cellStyle name="40% - Accent1 2 3 6 2" xfId="6622" xr:uid="{00000000-0005-0000-0000-0000FD030000}"/>
    <cellStyle name="40% - Accent1 2 3 6 2 2" xfId="23557" xr:uid="{35BB4008-716D-468B-8046-A2B6B6ABBCAC}"/>
    <cellStyle name="40% - Accent1 2 3 6 2 3" xfId="15116" xr:uid="{120E1FE8-D9BC-42B1-B43F-3CD083CE604E}"/>
    <cellStyle name="40% - Accent1 2 3 6 3" xfId="19339" xr:uid="{64F13C8E-7479-4F35-B5AF-0310F87CD92E}"/>
    <cellStyle name="40% - Accent1 2 3 6 4" xfId="10865" xr:uid="{25FF192D-A9D4-44FB-90AB-3D002B305C8F}"/>
    <cellStyle name="40% - Accent1 2 3 7" xfId="4556" xr:uid="{00000000-0005-0000-0000-0000FE030000}"/>
    <cellStyle name="40% - Accent1 2 3 7 2" xfId="21491" xr:uid="{7F9F0C2F-9004-4884-B3BE-5A6784004492}"/>
    <cellStyle name="40% - Accent1 2 3 7 3" xfId="13050" xr:uid="{40DB4830-6A28-4A22-9853-2E985C647649}"/>
    <cellStyle name="40% - Accent1 2 3 8" xfId="17273" xr:uid="{DA008E01-034C-4ADE-AB5C-2FD9F70665A5}"/>
    <cellStyle name="40% - Accent1 2 3 9" xfId="8788" xr:uid="{BE125268-3DA4-44BF-B2A7-A3214AE408CF}"/>
    <cellStyle name="40% - Accent1 2 4" xfId="619" xr:uid="{00000000-0005-0000-0000-0000FF030000}"/>
    <cellStyle name="40% - Accent1 2 4 2" xfId="2890" xr:uid="{00000000-0005-0000-0000-000000040000}"/>
    <cellStyle name="40% - Accent1 2 4 2 2" xfId="7112" xr:uid="{00000000-0005-0000-0000-000001040000}"/>
    <cellStyle name="40% - Accent1 2 4 2 2 2" xfId="24047" xr:uid="{9BEABD04-FCF5-4CB0-B81B-6895C0D026CC}"/>
    <cellStyle name="40% - Accent1 2 4 2 2 3" xfId="15606" xr:uid="{12CA53DC-8A71-4461-BE0A-9552005C3472}"/>
    <cellStyle name="40% - Accent1 2 4 2 3" xfId="19829" xr:uid="{B7BAC49D-AC7F-4E67-B60A-81A510E78B69}"/>
    <cellStyle name="40% - Accent1 2 4 2 4" xfId="11387" xr:uid="{B0BA4047-607E-4EB0-A9F9-982E298AF868}"/>
    <cellStyle name="40% - Accent1 2 4 3" xfId="4967" xr:uid="{00000000-0005-0000-0000-000002040000}"/>
    <cellStyle name="40% - Accent1 2 4 3 2" xfId="21902" xr:uid="{C5151D8F-F2B9-4122-9B7A-C48A43EC53CC}"/>
    <cellStyle name="40% - Accent1 2 4 3 3" xfId="13461" xr:uid="{F53913CB-0660-4A97-B8B2-2789FC835101}"/>
    <cellStyle name="40% - Accent1 2 4 4" xfId="17684" xr:uid="{87E6F43B-E37B-412F-9C7A-F1D28F5C3B11}"/>
    <cellStyle name="40% - Accent1 2 4 5" xfId="9209" xr:uid="{DDF02194-13B1-4D48-B54F-D28671549E08}"/>
    <cellStyle name="40% - Accent1 2 5" xfId="1072" xr:uid="{00000000-0005-0000-0000-000003040000}"/>
    <cellStyle name="40% - Accent1 2 5 2" xfId="3303" xr:uid="{00000000-0005-0000-0000-000004040000}"/>
    <cellStyle name="40% - Accent1 2 5 2 2" xfId="7525" xr:uid="{00000000-0005-0000-0000-000005040000}"/>
    <cellStyle name="40% - Accent1 2 5 2 2 2" xfId="24460" xr:uid="{4F2E8A8A-3AFC-4553-9302-7F998897FB3F}"/>
    <cellStyle name="40% - Accent1 2 5 2 2 3" xfId="16019" xr:uid="{8A0448B1-AC16-4503-9FD4-B09F93073F6C}"/>
    <cellStyle name="40% - Accent1 2 5 2 3" xfId="20242" xr:uid="{29B3D85D-7082-4414-9484-D7793111716C}"/>
    <cellStyle name="40% - Accent1 2 5 2 4" xfId="11800" xr:uid="{B4E9B38F-80A4-45CC-9BDD-03490085F195}"/>
    <cellStyle name="40% - Accent1 2 5 3" xfId="5380" xr:uid="{00000000-0005-0000-0000-000006040000}"/>
    <cellStyle name="40% - Accent1 2 5 3 2" xfId="22315" xr:uid="{09DBA4F8-2BF6-4295-AA82-9D096A823B2A}"/>
    <cellStyle name="40% - Accent1 2 5 3 3" xfId="13874" xr:uid="{D41969C4-865E-4ED7-94F1-C7D9B63E2386}"/>
    <cellStyle name="40% - Accent1 2 5 4" xfId="18097" xr:uid="{332F3B00-3F3D-4356-AADA-FBE144B8DB47}"/>
    <cellStyle name="40% - Accent1 2 5 5" xfId="9623" xr:uid="{B735E7BD-44DB-43BA-9147-4403A1BC5982}"/>
    <cellStyle name="40% - Accent1 2 6" xfId="1486" xr:uid="{00000000-0005-0000-0000-000007040000}"/>
    <cellStyle name="40% - Accent1 2 6 2" xfId="3716" xr:uid="{00000000-0005-0000-0000-000008040000}"/>
    <cellStyle name="40% - Accent1 2 6 2 2" xfId="7938" xr:uid="{00000000-0005-0000-0000-000009040000}"/>
    <cellStyle name="40% - Accent1 2 6 2 2 2" xfId="24873" xr:uid="{0E3658FD-5E92-48AF-BEAB-9F74B63943D4}"/>
    <cellStyle name="40% - Accent1 2 6 2 2 3" xfId="16432" xr:uid="{CB6C662F-DCFF-43B4-9F27-8302F4A7135C}"/>
    <cellStyle name="40% - Accent1 2 6 2 3" xfId="20655" xr:uid="{E95D289D-13F9-4D91-A769-1A0CAB9E8055}"/>
    <cellStyle name="40% - Accent1 2 6 2 4" xfId="12213" xr:uid="{893AF03C-5749-4E2A-9D44-2FBBFBF6AB03}"/>
    <cellStyle name="40% - Accent1 2 6 3" xfId="5793" xr:uid="{00000000-0005-0000-0000-00000A040000}"/>
    <cellStyle name="40% - Accent1 2 6 3 2" xfId="22728" xr:uid="{793AC3C2-7F8C-4315-B669-B424B0F2A619}"/>
    <cellStyle name="40% - Accent1 2 6 3 3" xfId="14287" xr:uid="{715DDE6C-FACC-4099-982E-D003A0F20527}"/>
    <cellStyle name="40% - Accent1 2 6 4" xfId="18510" xr:uid="{12F68EAA-EFD5-436D-900C-258921510E41}"/>
    <cellStyle name="40% - Accent1 2 6 5" xfId="10036" xr:uid="{B4E1792E-6691-45DA-BC41-154B52802895}"/>
    <cellStyle name="40% - Accent1 2 7" xfId="1900" xr:uid="{00000000-0005-0000-0000-00000B040000}"/>
    <cellStyle name="40% - Accent1 2 7 2" xfId="4129" xr:uid="{00000000-0005-0000-0000-00000C040000}"/>
    <cellStyle name="40% - Accent1 2 7 2 2" xfId="8351" xr:uid="{00000000-0005-0000-0000-00000D040000}"/>
    <cellStyle name="40% - Accent1 2 7 2 2 2" xfId="25286" xr:uid="{343904B0-72D0-4C99-90B9-A29E735B36AB}"/>
    <cellStyle name="40% - Accent1 2 7 2 2 3" xfId="16845" xr:uid="{7C1C1A7F-C79A-45E4-AB9A-72D98784071F}"/>
    <cellStyle name="40% - Accent1 2 7 2 3" xfId="21068" xr:uid="{21182870-5A44-49ED-9488-B35AA7F323F7}"/>
    <cellStyle name="40% - Accent1 2 7 2 4" xfId="12626" xr:uid="{4084971D-2703-4C37-B519-F3F64319DBB2}"/>
    <cellStyle name="40% - Accent1 2 7 3" xfId="6206" xr:uid="{00000000-0005-0000-0000-00000E040000}"/>
    <cellStyle name="40% - Accent1 2 7 3 2" xfId="23141" xr:uid="{509959B9-7DDA-4DFC-9E88-1C223023D85F}"/>
    <cellStyle name="40% - Accent1 2 7 3 3" xfId="14700" xr:uid="{6413D1F0-97A3-456F-ABD1-0CF7B931177B}"/>
    <cellStyle name="40% - Accent1 2 7 4" xfId="18923" xr:uid="{F87D45D0-ECC7-44E8-B23C-D323B89B449D}"/>
    <cellStyle name="40% - Accent1 2 7 5" xfId="10449" xr:uid="{86D2FD5B-B699-4EE3-937B-B13E5E21B432}"/>
    <cellStyle name="40% - Accent1 2 8" xfId="2313" xr:uid="{00000000-0005-0000-0000-00000F040000}"/>
    <cellStyle name="40% - Accent1 2 8 2" xfId="6619" xr:uid="{00000000-0005-0000-0000-000010040000}"/>
    <cellStyle name="40% - Accent1 2 8 2 2" xfId="23554" xr:uid="{669698D3-1B94-466E-B349-34E25AAE0054}"/>
    <cellStyle name="40% - Accent1 2 8 2 3" xfId="15113" xr:uid="{6BC7432C-7F50-4109-9B92-82B71B2D328B}"/>
    <cellStyle name="40% - Accent1 2 8 3" xfId="19336" xr:uid="{2D53895C-398F-4E08-8543-F8B237BB1FAF}"/>
    <cellStyle name="40% - Accent1 2 8 4" xfId="10862" xr:uid="{3E08F362-2C78-46ED-95B4-BB3AD7343857}"/>
    <cellStyle name="40% - Accent1 2 9" xfId="4553" xr:uid="{00000000-0005-0000-0000-000011040000}"/>
    <cellStyle name="40% - Accent1 2 9 2" xfId="21488" xr:uid="{BE7836B2-7B7C-4FF3-B8BC-027CDEB15383}"/>
    <cellStyle name="40% - Accent1 2 9 3" xfId="13047" xr:uid="{8A2EA841-B507-42A2-851A-70756FA3CE2F}"/>
    <cellStyle name="40% - Accent1 3" xfId="54" xr:uid="{00000000-0005-0000-0000-000012040000}"/>
    <cellStyle name="40% - Accent1 3 10" xfId="8789" xr:uid="{2EF422B2-C401-4E9E-A37D-FB61EA01450D}"/>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052" xr:uid="{CBE05EB7-EA49-4EB5-ABB8-DAC1BF0B7195}"/>
    <cellStyle name="40% - Accent1 3 2 2 2 2 3" xfId="15611" xr:uid="{6746B181-4A39-46EB-884C-1A0CC4E2C3A8}"/>
    <cellStyle name="40% - Accent1 3 2 2 2 3" xfId="19834" xr:uid="{392FBC6A-E27B-4CE6-BA91-2CDDFD3CB0C1}"/>
    <cellStyle name="40% - Accent1 3 2 2 2 4" xfId="11392" xr:uid="{FFF3CC80-9E27-48ED-8553-D845C6FEE296}"/>
    <cellStyle name="40% - Accent1 3 2 2 3" xfId="4972" xr:uid="{00000000-0005-0000-0000-000017040000}"/>
    <cellStyle name="40% - Accent1 3 2 2 3 2" xfId="21907" xr:uid="{E71B3D1C-874D-4163-9368-31F6DD8A4FA3}"/>
    <cellStyle name="40% - Accent1 3 2 2 3 3" xfId="13466" xr:uid="{11DF4A82-85EA-4170-A307-C505BC96AC15}"/>
    <cellStyle name="40% - Accent1 3 2 2 4" xfId="17689" xr:uid="{65401755-B5A0-4EFF-BF3A-BD47D1CAA20D}"/>
    <cellStyle name="40% - Accent1 3 2 2 5" xfId="9214" xr:uid="{52DE0D60-06A8-4F6C-8900-2F91BDC1AB47}"/>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4465" xr:uid="{4D0EFDAE-B2C4-4BB2-B831-E1AD1090CEF1}"/>
    <cellStyle name="40% - Accent1 3 2 3 2 2 3" xfId="16024" xr:uid="{A20682FA-E0BF-49DE-AD77-033E2681A573}"/>
    <cellStyle name="40% - Accent1 3 2 3 2 3" xfId="20247" xr:uid="{7B9B2F66-B063-46E1-A417-4BD4073970C5}"/>
    <cellStyle name="40% - Accent1 3 2 3 2 4" xfId="11805" xr:uid="{2D2C74D5-1193-4A50-BB92-D6E7896205C5}"/>
    <cellStyle name="40% - Accent1 3 2 3 3" xfId="5385" xr:uid="{00000000-0005-0000-0000-00001B040000}"/>
    <cellStyle name="40% - Accent1 3 2 3 3 2" xfId="22320" xr:uid="{2B450F13-6DC1-4D85-8669-8677506A0E69}"/>
    <cellStyle name="40% - Accent1 3 2 3 3 3" xfId="13879" xr:uid="{C81EE25C-E4D8-43EE-9B55-11427428786F}"/>
    <cellStyle name="40% - Accent1 3 2 3 4" xfId="18102" xr:uid="{DC2C737E-1E63-4042-A2CF-4EEA79DCFEBE}"/>
    <cellStyle name="40% - Accent1 3 2 3 5" xfId="9628" xr:uid="{80F7F8F4-A87C-4280-9327-1C22321A876C}"/>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4878" xr:uid="{6683C740-39AE-495A-8AFE-857A0752DD3C}"/>
    <cellStyle name="40% - Accent1 3 2 4 2 2 3" xfId="16437" xr:uid="{943222F5-6F5E-4486-BB08-6C7EEA623778}"/>
    <cellStyle name="40% - Accent1 3 2 4 2 3" xfId="20660" xr:uid="{68222F7B-97D6-4C65-820C-7AF44F5BF996}"/>
    <cellStyle name="40% - Accent1 3 2 4 2 4" xfId="12218" xr:uid="{20756023-F679-4B86-ACD2-5ECD14A7CB2C}"/>
    <cellStyle name="40% - Accent1 3 2 4 3" xfId="5798" xr:uid="{00000000-0005-0000-0000-00001F040000}"/>
    <cellStyle name="40% - Accent1 3 2 4 3 2" xfId="22733" xr:uid="{15F19463-C6BE-467B-9B82-E99E62AD9BE4}"/>
    <cellStyle name="40% - Accent1 3 2 4 3 3" xfId="14292" xr:uid="{111574F9-9F5F-42B5-BF6B-05891B1C4425}"/>
    <cellStyle name="40% - Accent1 3 2 4 4" xfId="18515" xr:uid="{5BFFC81B-EF24-4CDA-8805-A1E8DFB2895C}"/>
    <cellStyle name="40% - Accent1 3 2 4 5" xfId="10041" xr:uid="{E728B102-7BDE-4207-9327-19BDD0B59526}"/>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5291" xr:uid="{951E4270-9488-40DD-9447-9CB3DD070A19}"/>
    <cellStyle name="40% - Accent1 3 2 5 2 2 3" xfId="16850" xr:uid="{11A6B6A4-2DF4-4D00-BB6C-E0DB00379508}"/>
    <cellStyle name="40% - Accent1 3 2 5 2 3" xfId="21073" xr:uid="{2D9FCEAC-D83B-48CE-AF76-287C7FEE12E2}"/>
    <cellStyle name="40% - Accent1 3 2 5 2 4" xfId="12631" xr:uid="{F0DEFC4E-2BE0-4A23-A7EC-30BA1E970566}"/>
    <cellStyle name="40% - Accent1 3 2 5 3" xfId="6211" xr:uid="{00000000-0005-0000-0000-000023040000}"/>
    <cellStyle name="40% - Accent1 3 2 5 3 2" xfId="23146" xr:uid="{432705BE-ABBE-40EA-A9BF-688B0A6679A6}"/>
    <cellStyle name="40% - Accent1 3 2 5 3 3" xfId="14705" xr:uid="{77CA8E47-0A70-433B-AC14-DBB9A4FB741C}"/>
    <cellStyle name="40% - Accent1 3 2 5 4" xfId="18928" xr:uid="{BB0CB37E-58C4-46C9-9F61-33CA592EDE91}"/>
    <cellStyle name="40% - Accent1 3 2 5 5" xfId="10454" xr:uid="{5A8B31D7-F922-48A0-B3A1-380832D50D75}"/>
    <cellStyle name="40% - Accent1 3 2 6" xfId="2318" xr:uid="{00000000-0005-0000-0000-000024040000}"/>
    <cellStyle name="40% - Accent1 3 2 6 2" xfId="6624" xr:uid="{00000000-0005-0000-0000-000025040000}"/>
    <cellStyle name="40% - Accent1 3 2 6 2 2" xfId="23559" xr:uid="{A216C462-55A3-4DC1-9970-FB29ABC57E93}"/>
    <cellStyle name="40% - Accent1 3 2 6 2 3" xfId="15118" xr:uid="{6DF9FBC3-E00A-4EB0-A8D6-565EDF4ECBC5}"/>
    <cellStyle name="40% - Accent1 3 2 6 3" xfId="19341" xr:uid="{65735B05-84E2-46B5-A7E8-01B03EAAE752}"/>
    <cellStyle name="40% - Accent1 3 2 6 4" xfId="10867" xr:uid="{864C0F46-3CDA-4C50-95D0-1643D7F82290}"/>
    <cellStyle name="40% - Accent1 3 2 7" xfId="4558" xr:uid="{00000000-0005-0000-0000-000026040000}"/>
    <cellStyle name="40% - Accent1 3 2 7 2" xfId="21493" xr:uid="{3DDEFC4F-1AA9-4794-BA5C-655E173F08BB}"/>
    <cellStyle name="40% - Accent1 3 2 7 3" xfId="13052" xr:uid="{D19EB63E-2C50-43A6-8D26-E03305041425}"/>
    <cellStyle name="40% - Accent1 3 2 8" xfId="17275" xr:uid="{FFC9FDB7-2330-4FDD-AFFC-7C4583880BCC}"/>
    <cellStyle name="40% - Accent1 3 2 9" xfId="8790" xr:uid="{D35A7B78-A687-47A8-A079-DE3FF76697EF}"/>
    <cellStyle name="40% - Accent1 3 3" xfId="623" xr:uid="{00000000-0005-0000-0000-000027040000}"/>
    <cellStyle name="40% - Accent1 3 3 2" xfId="2894" xr:uid="{00000000-0005-0000-0000-000028040000}"/>
    <cellStyle name="40% - Accent1 3 3 2 2" xfId="7116" xr:uid="{00000000-0005-0000-0000-000029040000}"/>
    <cellStyle name="40% - Accent1 3 3 2 2 2" xfId="24051" xr:uid="{0D66CED1-E716-4023-8922-C0BCC85955D1}"/>
    <cellStyle name="40% - Accent1 3 3 2 2 3" xfId="15610" xr:uid="{EFE777E1-B37E-460B-BACC-86A4D79C3A1B}"/>
    <cellStyle name="40% - Accent1 3 3 2 3" xfId="19833" xr:uid="{4AC819C1-FAFC-4281-9963-7F1CAF1575C3}"/>
    <cellStyle name="40% - Accent1 3 3 2 4" xfId="11391" xr:uid="{AC96C1FE-193B-4D59-B1F1-3D5C91BF2465}"/>
    <cellStyle name="40% - Accent1 3 3 3" xfId="4971" xr:uid="{00000000-0005-0000-0000-00002A040000}"/>
    <cellStyle name="40% - Accent1 3 3 3 2" xfId="21906" xr:uid="{767E93FE-290A-4B77-9D17-0439E83C5239}"/>
    <cellStyle name="40% - Accent1 3 3 3 3" xfId="13465" xr:uid="{41CDD759-22C1-4F90-BEA7-3B98CB030EDF}"/>
    <cellStyle name="40% - Accent1 3 3 4" xfId="17688" xr:uid="{94992A5A-D83E-4FAD-AE64-8663B88B3671}"/>
    <cellStyle name="40% - Accent1 3 3 5" xfId="9213" xr:uid="{00CBD5F7-58CB-4F75-88E8-F61C587F90E0}"/>
    <cellStyle name="40% - Accent1 3 4" xfId="1076" xr:uid="{00000000-0005-0000-0000-00002B040000}"/>
    <cellStyle name="40% - Accent1 3 4 2" xfId="3307" xr:uid="{00000000-0005-0000-0000-00002C040000}"/>
    <cellStyle name="40% - Accent1 3 4 2 2" xfId="7529" xr:uid="{00000000-0005-0000-0000-00002D040000}"/>
    <cellStyle name="40% - Accent1 3 4 2 2 2" xfId="24464" xr:uid="{6985FEB4-5714-47AF-9D6E-61971F420AC6}"/>
    <cellStyle name="40% - Accent1 3 4 2 2 3" xfId="16023" xr:uid="{FEC1E5DE-CD31-4522-8D85-BCD1E82B33EA}"/>
    <cellStyle name="40% - Accent1 3 4 2 3" xfId="20246" xr:uid="{6D0A4061-8EB7-4B58-AAB5-2C7967E7C8AD}"/>
    <cellStyle name="40% - Accent1 3 4 2 4" xfId="11804" xr:uid="{D74D165D-5EAD-4414-99E9-CB61CA9B76D3}"/>
    <cellStyle name="40% - Accent1 3 4 3" xfId="5384" xr:uid="{00000000-0005-0000-0000-00002E040000}"/>
    <cellStyle name="40% - Accent1 3 4 3 2" xfId="22319" xr:uid="{4D3218D2-6D45-47E6-B178-4433B96D93D8}"/>
    <cellStyle name="40% - Accent1 3 4 3 3" xfId="13878" xr:uid="{9B36EF0D-7BDC-4CEB-9289-4633D6EDCEB6}"/>
    <cellStyle name="40% - Accent1 3 4 4" xfId="18101" xr:uid="{E1AC542F-523D-470E-8A93-E3FBEB2422F2}"/>
    <cellStyle name="40% - Accent1 3 4 5" xfId="9627" xr:uid="{C1273C43-B6CE-45C0-B9D1-F27244A49B82}"/>
    <cellStyle name="40% - Accent1 3 5" xfId="1490" xr:uid="{00000000-0005-0000-0000-00002F040000}"/>
    <cellStyle name="40% - Accent1 3 5 2" xfId="3720" xr:uid="{00000000-0005-0000-0000-000030040000}"/>
    <cellStyle name="40% - Accent1 3 5 2 2" xfId="7942" xr:uid="{00000000-0005-0000-0000-000031040000}"/>
    <cellStyle name="40% - Accent1 3 5 2 2 2" xfId="24877" xr:uid="{05FCEFC4-1D45-41C6-94FF-E7A181C1CCA5}"/>
    <cellStyle name="40% - Accent1 3 5 2 2 3" xfId="16436" xr:uid="{ED13EF5A-CB83-4B7B-A60E-E235D63E61CF}"/>
    <cellStyle name="40% - Accent1 3 5 2 3" xfId="20659" xr:uid="{B4BBED27-B8B0-4593-B8A7-37E2EF2CFCD8}"/>
    <cellStyle name="40% - Accent1 3 5 2 4" xfId="12217" xr:uid="{FB745AA5-F55C-4F76-AC4C-87751FD4E947}"/>
    <cellStyle name="40% - Accent1 3 5 3" xfId="5797" xr:uid="{00000000-0005-0000-0000-000032040000}"/>
    <cellStyle name="40% - Accent1 3 5 3 2" xfId="22732" xr:uid="{3A1BCB3A-0541-4635-8251-1F3B699EE028}"/>
    <cellStyle name="40% - Accent1 3 5 3 3" xfId="14291" xr:uid="{F2342C96-FF26-4DCC-BAA4-87A025D4CC87}"/>
    <cellStyle name="40% - Accent1 3 5 4" xfId="18514" xr:uid="{6E2A9995-89BA-45D9-89F1-9235B6F46781}"/>
    <cellStyle name="40% - Accent1 3 5 5" xfId="10040" xr:uid="{239A798D-456C-4B19-B22D-DF7C6E4EAABF}"/>
    <cellStyle name="40% - Accent1 3 6" xfId="1904" xr:uid="{00000000-0005-0000-0000-000033040000}"/>
    <cellStyle name="40% - Accent1 3 6 2" xfId="4133" xr:uid="{00000000-0005-0000-0000-000034040000}"/>
    <cellStyle name="40% - Accent1 3 6 2 2" xfId="8355" xr:uid="{00000000-0005-0000-0000-000035040000}"/>
    <cellStyle name="40% - Accent1 3 6 2 2 2" xfId="25290" xr:uid="{BE7C7874-CCEC-4B89-80E6-D7312B36B2A7}"/>
    <cellStyle name="40% - Accent1 3 6 2 2 3" xfId="16849" xr:uid="{D691F247-BDAD-4E20-9431-2D88AC2687E9}"/>
    <cellStyle name="40% - Accent1 3 6 2 3" xfId="21072" xr:uid="{04EBDB12-8084-488B-A037-B2EC7412DCCB}"/>
    <cellStyle name="40% - Accent1 3 6 2 4" xfId="12630" xr:uid="{6E206D27-8BC3-44B8-9124-97A1C841B6BE}"/>
    <cellStyle name="40% - Accent1 3 6 3" xfId="6210" xr:uid="{00000000-0005-0000-0000-000036040000}"/>
    <cellStyle name="40% - Accent1 3 6 3 2" xfId="23145" xr:uid="{DA499C3A-19A1-4A52-96B4-9226A137AFD0}"/>
    <cellStyle name="40% - Accent1 3 6 3 3" xfId="14704" xr:uid="{4CD5B761-F8ED-401F-8F97-354558FCE728}"/>
    <cellStyle name="40% - Accent1 3 6 4" xfId="18927" xr:uid="{5AEF7AC2-DE85-4A0F-A406-D2B3421C26E7}"/>
    <cellStyle name="40% - Accent1 3 6 5" xfId="10453" xr:uid="{194334E3-1286-423E-ACD2-5293EFCE8186}"/>
    <cellStyle name="40% - Accent1 3 7" xfId="2317" xr:uid="{00000000-0005-0000-0000-000037040000}"/>
    <cellStyle name="40% - Accent1 3 7 2" xfId="6623" xr:uid="{00000000-0005-0000-0000-000038040000}"/>
    <cellStyle name="40% - Accent1 3 7 2 2" xfId="23558" xr:uid="{A9850641-542B-423F-8143-6215A4607AB6}"/>
    <cellStyle name="40% - Accent1 3 7 2 3" xfId="15117" xr:uid="{45053544-F496-4F46-BAF6-870C1457B300}"/>
    <cellStyle name="40% - Accent1 3 7 3" xfId="19340" xr:uid="{2D21E0B9-C684-4119-BA84-B2684E200594}"/>
    <cellStyle name="40% - Accent1 3 7 4" xfId="10866" xr:uid="{958A704A-0411-40D6-928E-6B85BC7AFB95}"/>
    <cellStyle name="40% - Accent1 3 8" xfId="4557" xr:uid="{00000000-0005-0000-0000-000039040000}"/>
    <cellStyle name="40% - Accent1 3 8 2" xfId="21492" xr:uid="{A79ACFCA-2B1E-42EE-B10C-EB9C26BA5060}"/>
    <cellStyle name="40% - Accent1 3 8 3" xfId="13051" xr:uid="{5B67B699-C833-408B-83D0-5606E2A1C451}"/>
    <cellStyle name="40% - Accent1 3 9" xfId="17274" xr:uid="{0BF27A43-78E7-4F12-AFD7-B35ED5E4AFD3}"/>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24053" xr:uid="{2F63D00D-68D9-44E5-A784-394BC434F899}"/>
    <cellStyle name="40% - Accent1 4 2 2 2 3" xfId="15612" xr:uid="{3F7F4EB4-B29D-4910-9D71-5F6EB4E7A266}"/>
    <cellStyle name="40% - Accent1 4 2 2 3" xfId="19835" xr:uid="{7EBB2F62-BA84-40EF-956C-2E81E118C2CD}"/>
    <cellStyle name="40% - Accent1 4 2 2 4" xfId="11393" xr:uid="{AD976734-AE13-4BD9-82B9-C04CC7BFA7FF}"/>
    <cellStyle name="40% - Accent1 4 2 3" xfId="4973" xr:uid="{00000000-0005-0000-0000-00003E040000}"/>
    <cellStyle name="40% - Accent1 4 2 3 2" xfId="21908" xr:uid="{0FCCB759-BE8D-4C4C-89C6-DBA6B9E4CAE8}"/>
    <cellStyle name="40% - Accent1 4 2 3 3" xfId="13467" xr:uid="{E00474E5-EFC2-4A8A-81CB-A4DDF494067E}"/>
    <cellStyle name="40% - Accent1 4 2 4" xfId="17690" xr:uid="{4EB856F3-EEE7-4F5A-ACAD-CA9F1F6F3F93}"/>
    <cellStyle name="40% - Accent1 4 2 5" xfId="9215" xr:uid="{E3E2E154-3BEA-4306-84CD-FDD3D65972FC}"/>
    <cellStyle name="40% - Accent1 4 3" xfId="1078" xr:uid="{00000000-0005-0000-0000-00003F040000}"/>
    <cellStyle name="40% - Accent1 4 3 2" xfId="3309" xr:uid="{00000000-0005-0000-0000-000040040000}"/>
    <cellStyle name="40% - Accent1 4 3 2 2" xfId="7531" xr:uid="{00000000-0005-0000-0000-000041040000}"/>
    <cellStyle name="40% - Accent1 4 3 2 2 2" xfId="24466" xr:uid="{33C4DB77-6D87-48B2-94A9-FAB9C760CB41}"/>
    <cellStyle name="40% - Accent1 4 3 2 2 3" xfId="16025" xr:uid="{0F76BDE8-21BF-4DBF-BDEB-AE19125F2319}"/>
    <cellStyle name="40% - Accent1 4 3 2 3" xfId="20248" xr:uid="{48FF871F-45B8-4C59-8EBE-B80E948951CD}"/>
    <cellStyle name="40% - Accent1 4 3 2 4" xfId="11806" xr:uid="{FB15AD0C-C4D1-47D5-B08F-A10B946E5F4D}"/>
    <cellStyle name="40% - Accent1 4 3 3" xfId="5386" xr:uid="{00000000-0005-0000-0000-000042040000}"/>
    <cellStyle name="40% - Accent1 4 3 3 2" xfId="22321" xr:uid="{DBD8B249-1DC8-49E7-B80C-DC7DF9055B5B}"/>
    <cellStyle name="40% - Accent1 4 3 3 3" xfId="13880" xr:uid="{51712BF2-D117-487C-8F36-8AA3536CF0CD}"/>
    <cellStyle name="40% - Accent1 4 3 4" xfId="18103" xr:uid="{08D48F41-B166-4B63-ABEA-F4F927905253}"/>
    <cellStyle name="40% - Accent1 4 3 5" xfId="9629" xr:uid="{CF3FC983-456E-4E36-97EF-EE12D962FF49}"/>
    <cellStyle name="40% - Accent1 4 4" xfId="1492" xr:uid="{00000000-0005-0000-0000-000043040000}"/>
    <cellStyle name="40% - Accent1 4 4 2" xfId="3722" xr:uid="{00000000-0005-0000-0000-000044040000}"/>
    <cellStyle name="40% - Accent1 4 4 2 2" xfId="7944" xr:uid="{00000000-0005-0000-0000-000045040000}"/>
    <cellStyle name="40% - Accent1 4 4 2 2 2" xfId="24879" xr:uid="{BAED5302-E62F-4654-A5E6-1FB24B87D784}"/>
    <cellStyle name="40% - Accent1 4 4 2 2 3" xfId="16438" xr:uid="{40A9AF3D-D5C9-4A2D-9ED7-68C0D553C98D}"/>
    <cellStyle name="40% - Accent1 4 4 2 3" xfId="20661" xr:uid="{6A196990-DE62-4CDD-8F5B-9D05B24C75BB}"/>
    <cellStyle name="40% - Accent1 4 4 2 4" xfId="12219" xr:uid="{9B48BFF1-C29C-4885-AED2-C2A0D350E201}"/>
    <cellStyle name="40% - Accent1 4 4 3" xfId="5799" xr:uid="{00000000-0005-0000-0000-000046040000}"/>
    <cellStyle name="40% - Accent1 4 4 3 2" xfId="22734" xr:uid="{A0700883-317B-4160-BC95-5365D9F4278F}"/>
    <cellStyle name="40% - Accent1 4 4 3 3" xfId="14293" xr:uid="{5EFEAB8F-A0CB-4E2C-81D0-23FF0A0CDDD6}"/>
    <cellStyle name="40% - Accent1 4 4 4" xfId="18516" xr:uid="{7282FF78-F7E3-4CD3-871F-68B79FED47DE}"/>
    <cellStyle name="40% - Accent1 4 4 5" xfId="10042" xr:uid="{33A0664A-3887-4D54-BDAB-213935EFBE40}"/>
    <cellStyle name="40% - Accent1 4 5" xfId="1906" xr:uid="{00000000-0005-0000-0000-000047040000}"/>
    <cellStyle name="40% - Accent1 4 5 2" xfId="4135" xr:uid="{00000000-0005-0000-0000-000048040000}"/>
    <cellStyle name="40% - Accent1 4 5 2 2" xfId="8357" xr:uid="{00000000-0005-0000-0000-000049040000}"/>
    <cellStyle name="40% - Accent1 4 5 2 2 2" xfId="25292" xr:uid="{6B724BFE-B920-420E-9FF7-E6B24F2D313D}"/>
    <cellStyle name="40% - Accent1 4 5 2 2 3" xfId="16851" xr:uid="{53F064E1-DA40-4D98-9692-D2052D336CC1}"/>
    <cellStyle name="40% - Accent1 4 5 2 3" xfId="21074" xr:uid="{807DCA14-2728-4A6B-BDDB-BDA36DE462EF}"/>
    <cellStyle name="40% - Accent1 4 5 2 4" xfId="12632" xr:uid="{479BA22A-AAB0-4C50-8737-6CA14DADB5D1}"/>
    <cellStyle name="40% - Accent1 4 5 3" xfId="6212" xr:uid="{00000000-0005-0000-0000-00004A040000}"/>
    <cellStyle name="40% - Accent1 4 5 3 2" xfId="23147" xr:uid="{89A43D90-E4A2-4C80-B531-5E98180EDDAB}"/>
    <cellStyle name="40% - Accent1 4 5 3 3" xfId="14706" xr:uid="{777514C8-04A1-454F-A897-36833619BDBF}"/>
    <cellStyle name="40% - Accent1 4 5 4" xfId="18929" xr:uid="{8CACD709-8B48-4127-9AFC-83C451DE8895}"/>
    <cellStyle name="40% - Accent1 4 5 5" xfId="10455" xr:uid="{7A2520E4-F538-45AB-9057-88031F893C01}"/>
    <cellStyle name="40% - Accent1 4 6" xfId="2319" xr:uid="{00000000-0005-0000-0000-00004B040000}"/>
    <cellStyle name="40% - Accent1 4 6 2" xfId="6625" xr:uid="{00000000-0005-0000-0000-00004C040000}"/>
    <cellStyle name="40% - Accent1 4 6 2 2" xfId="23560" xr:uid="{70D677B1-6EDB-49A2-A8AB-F8F369C6CDBB}"/>
    <cellStyle name="40% - Accent1 4 6 2 3" xfId="15119" xr:uid="{CD86AC0A-F4A0-463B-B4D8-1565B3E500E4}"/>
    <cellStyle name="40% - Accent1 4 6 3" xfId="19342" xr:uid="{FCEC618E-0FEC-40DB-9465-93FBE8E8C414}"/>
    <cellStyle name="40% - Accent1 4 6 4" xfId="10868" xr:uid="{36CD16B1-285E-4FF9-BE67-045CAB4D52BC}"/>
    <cellStyle name="40% - Accent1 4 7" xfId="4559" xr:uid="{00000000-0005-0000-0000-00004D040000}"/>
    <cellStyle name="40% - Accent1 4 7 2" xfId="21494" xr:uid="{0F931EF5-8CBF-4582-8B5A-94B673432804}"/>
    <cellStyle name="40% - Accent1 4 7 3" xfId="13053" xr:uid="{3ECE5557-F7FB-4946-9425-FDA9FBA62068}"/>
    <cellStyle name="40% - Accent1 4 8" xfId="17276" xr:uid="{E7360D46-A78C-4562-AE13-21110AEA50DA}"/>
    <cellStyle name="40% - Accent1 4 9" xfId="8791" xr:uid="{00DAC19C-C0E7-488C-8A5C-A936836EBD6A}"/>
    <cellStyle name="40% - Accent1 5" xfId="618" xr:uid="{00000000-0005-0000-0000-00004E040000}"/>
    <cellStyle name="40% - Accent1 5 2" xfId="2889" xr:uid="{00000000-0005-0000-0000-00004F040000}"/>
    <cellStyle name="40% - Accent1 5 2 2" xfId="7111" xr:uid="{00000000-0005-0000-0000-000050040000}"/>
    <cellStyle name="40% - Accent1 5 2 2 2" xfId="24046" xr:uid="{D20302E3-EC52-454B-893E-8F22D2C1119D}"/>
    <cellStyle name="40% - Accent1 5 2 2 3" xfId="15605" xr:uid="{CB0A8950-B7C3-41AB-AF2D-48D588FE977F}"/>
    <cellStyle name="40% - Accent1 5 2 3" xfId="19828" xr:uid="{54D046CB-775F-449F-AF31-757E338C1F38}"/>
    <cellStyle name="40% - Accent1 5 2 4" xfId="11386" xr:uid="{FE6D92CC-E88F-4EA4-AF5B-AE3E8BB86F82}"/>
    <cellStyle name="40% - Accent1 5 3" xfId="4966" xr:uid="{00000000-0005-0000-0000-000051040000}"/>
    <cellStyle name="40% - Accent1 5 3 2" xfId="21901" xr:uid="{116E90FB-3F56-47E0-9274-66D26AC5746F}"/>
    <cellStyle name="40% - Accent1 5 3 3" xfId="13460" xr:uid="{6C1779DF-0458-4914-8098-A0915DA5C023}"/>
    <cellStyle name="40% - Accent1 5 4" xfId="17683" xr:uid="{A485AD80-595B-4D3D-909C-F24C9E241862}"/>
    <cellStyle name="40% - Accent1 5 5" xfId="9208" xr:uid="{BB784AFC-0D62-49ED-8276-4B674E1098B7}"/>
    <cellStyle name="40% - Accent1 6" xfId="1071" xr:uid="{00000000-0005-0000-0000-000052040000}"/>
    <cellStyle name="40% - Accent1 6 2" xfId="3302" xr:uid="{00000000-0005-0000-0000-000053040000}"/>
    <cellStyle name="40% - Accent1 6 2 2" xfId="7524" xr:uid="{00000000-0005-0000-0000-000054040000}"/>
    <cellStyle name="40% - Accent1 6 2 2 2" xfId="24459" xr:uid="{3BA036DA-5316-4D3C-BAF0-B3511327E0CE}"/>
    <cellStyle name="40% - Accent1 6 2 2 3" xfId="16018" xr:uid="{5B7C7358-40EF-4E69-8CCB-FD65504F8C5D}"/>
    <cellStyle name="40% - Accent1 6 2 3" xfId="20241" xr:uid="{6BB8F9AC-B831-406E-8118-4159CEE1E27A}"/>
    <cellStyle name="40% - Accent1 6 2 4" xfId="11799" xr:uid="{4E4807D6-F242-4BD8-878B-D81462E7DBAD}"/>
    <cellStyle name="40% - Accent1 6 3" xfId="5379" xr:uid="{00000000-0005-0000-0000-000055040000}"/>
    <cellStyle name="40% - Accent1 6 3 2" xfId="22314" xr:uid="{71E34B25-BDF6-415D-91B4-9BE838A84891}"/>
    <cellStyle name="40% - Accent1 6 3 3" xfId="13873" xr:uid="{0C8D92BC-9B22-4576-B74B-596828CA4A39}"/>
    <cellStyle name="40% - Accent1 6 4" xfId="18096" xr:uid="{68A9A888-7674-4EFE-9E85-821B86F650EB}"/>
    <cellStyle name="40% - Accent1 6 5" xfId="9622" xr:uid="{1AE03B0C-9DB4-4C7F-940D-F9BD68064A25}"/>
    <cellStyle name="40% - Accent1 7" xfId="1485" xr:uid="{00000000-0005-0000-0000-000056040000}"/>
    <cellStyle name="40% - Accent1 7 2" xfId="3715" xr:uid="{00000000-0005-0000-0000-000057040000}"/>
    <cellStyle name="40% - Accent1 7 2 2" xfId="7937" xr:uid="{00000000-0005-0000-0000-000058040000}"/>
    <cellStyle name="40% - Accent1 7 2 2 2" xfId="24872" xr:uid="{BD9FC328-470D-4547-94CE-FAA69BC04111}"/>
    <cellStyle name="40% - Accent1 7 2 2 3" xfId="16431" xr:uid="{769C9460-8F0D-4CF5-A373-1437581A9568}"/>
    <cellStyle name="40% - Accent1 7 2 3" xfId="20654" xr:uid="{23F32998-B0BB-4661-A198-205799441D48}"/>
    <cellStyle name="40% - Accent1 7 2 4" xfId="12212" xr:uid="{09B3FEC1-3AD8-4A49-842C-BE000C2959A6}"/>
    <cellStyle name="40% - Accent1 7 3" xfId="5792" xr:uid="{00000000-0005-0000-0000-000059040000}"/>
    <cellStyle name="40% - Accent1 7 3 2" xfId="22727" xr:uid="{24A6BB02-B076-4631-869D-28C75186B1A2}"/>
    <cellStyle name="40% - Accent1 7 3 3" xfId="14286" xr:uid="{FE83CE71-9440-4C87-915F-4A89573D67A0}"/>
    <cellStyle name="40% - Accent1 7 4" xfId="18509" xr:uid="{29A44248-7F31-4409-9CD7-F7D5B04456C2}"/>
    <cellStyle name="40% - Accent1 7 5" xfId="10035" xr:uid="{90DEC11F-5AD3-4630-B770-AAA229A3AD88}"/>
    <cellStyle name="40% - Accent1 8" xfId="1899" xr:uid="{00000000-0005-0000-0000-00005A040000}"/>
    <cellStyle name="40% - Accent1 8 2" xfId="4128" xr:uid="{00000000-0005-0000-0000-00005B040000}"/>
    <cellStyle name="40% - Accent1 8 2 2" xfId="8350" xr:uid="{00000000-0005-0000-0000-00005C040000}"/>
    <cellStyle name="40% - Accent1 8 2 2 2" xfId="25285" xr:uid="{52675279-A3AA-4A3D-816B-1B4EA7EC2E67}"/>
    <cellStyle name="40% - Accent1 8 2 2 3" xfId="16844" xr:uid="{132E6763-9EB2-4CBC-AE33-97C61439634C}"/>
    <cellStyle name="40% - Accent1 8 2 3" xfId="21067" xr:uid="{9121FA8E-33FD-40DF-A557-0463A26719D9}"/>
    <cellStyle name="40% - Accent1 8 2 4" xfId="12625" xr:uid="{CC7C88D2-5E98-4000-9456-DD3C78E16EDE}"/>
    <cellStyle name="40% - Accent1 8 3" xfId="6205" xr:uid="{00000000-0005-0000-0000-00005D040000}"/>
    <cellStyle name="40% - Accent1 8 3 2" xfId="23140" xr:uid="{A0F3BE3D-5468-4494-8E34-C2EDFC900FAA}"/>
    <cellStyle name="40% - Accent1 8 3 3" xfId="14699" xr:uid="{BEEAF1C7-328D-493D-85CC-E01A6FC69510}"/>
    <cellStyle name="40% - Accent1 8 4" xfId="18922" xr:uid="{D7760C06-9612-416D-9CE6-E39044F60511}"/>
    <cellStyle name="40% - Accent1 8 5" xfId="10448" xr:uid="{1661A622-90B9-4326-8B32-6DF512072A3F}"/>
    <cellStyle name="40% - Accent1 9" xfId="2312" xr:uid="{00000000-0005-0000-0000-00005E040000}"/>
    <cellStyle name="40% - Accent1 9 2" xfId="6618" xr:uid="{00000000-0005-0000-0000-00005F040000}"/>
    <cellStyle name="40% - Accent1 9 2 2" xfId="23553" xr:uid="{E8FEF554-FB3E-4894-B656-59CF66F75CEB}"/>
    <cellStyle name="40% - Accent1 9 2 3" xfId="15112" xr:uid="{E8229D0E-B7F0-4DD7-8CFA-47DD99FFECCD}"/>
    <cellStyle name="40% - Accent1 9 3" xfId="19335" xr:uid="{50A071CB-3185-4653-B212-A5A5DADB15FF}"/>
    <cellStyle name="40% - Accent1 9 4" xfId="10861" xr:uid="{D46FA9B9-9DAC-440F-A77B-89C0D7958700}"/>
    <cellStyle name="40% - Accent2" xfId="57" builtinId="35" customBuiltin="1"/>
    <cellStyle name="40% - Accent2 10" xfId="4560" xr:uid="{00000000-0005-0000-0000-000061040000}"/>
    <cellStyle name="40% - Accent2 10 2" xfId="21495" xr:uid="{C87C3807-E5A0-4A18-A631-5A555C43F935}"/>
    <cellStyle name="40% - Accent2 10 3" xfId="13054" xr:uid="{5DD42F71-935E-4DBF-B082-28AAB805A054}"/>
    <cellStyle name="40% - Accent2 11" xfId="17277" xr:uid="{19284799-D322-4F83-876A-311D13AF0E29}"/>
    <cellStyle name="40% - Accent2 12" xfId="8792" xr:uid="{38DB95D4-11E8-4AED-B23F-FA9208BDA1F7}"/>
    <cellStyle name="40% - Accent2 2" xfId="58" xr:uid="{00000000-0005-0000-0000-000062040000}"/>
    <cellStyle name="40% - Accent2 2 10" xfId="17278" xr:uid="{1B96F9BE-F215-45AE-9241-E8F5DED06E8D}"/>
    <cellStyle name="40% - Accent2 2 11" xfId="8793" xr:uid="{1DFFBC59-126E-48B1-A229-E442DDAB6E07}"/>
    <cellStyle name="40% - Accent2 2 2" xfId="59" xr:uid="{00000000-0005-0000-0000-000063040000}"/>
    <cellStyle name="40% - Accent2 2 2 10" xfId="8794" xr:uid="{03138752-D563-4917-8A4D-B0D904A0E0A6}"/>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057" xr:uid="{DEB3A5A8-099F-407D-A7BF-0A49A8987A03}"/>
    <cellStyle name="40% - Accent2 2 2 2 2 2 2 3" xfId="15616" xr:uid="{96664B87-2963-44A2-A2A3-E95D7AF1EB61}"/>
    <cellStyle name="40% - Accent2 2 2 2 2 2 3" xfId="19839" xr:uid="{5938F61F-F84D-4030-92C6-8364D83EF550}"/>
    <cellStyle name="40% - Accent2 2 2 2 2 2 4" xfId="11397" xr:uid="{113D17E0-64D8-41F4-98ED-18EA2B5A3D1B}"/>
    <cellStyle name="40% - Accent2 2 2 2 2 3" xfId="4977" xr:uid="{00000000-0005-0000-0000-000068040000}"/>
    <cellStyle name="40% - Accent2 2 2 2 2 3 2" xfId="21912" xr:uid="{BD75525D-CDD6-4BF0-A876-F4621410D6D7}"/>
    <cellStyle name="40% - Accent2 2 2 2 2 3 3" xfId="13471" xr:uid="{64F95E30-0F4A-47F0-9661-55D43C76AED5}"/>
    <cellStyle name="40% - Accent2 2 2 2 2 4" xfId="17694" xr:uid="{F78A83B9-DDBC-4F91-86EC-DD64AC54CBA6}"/>
    <cellStyle name="40% - Accent2 2 2 2 2 5" xfId="9219" xr:uid="{5F026340-8CDE-4F19-8F57-BE5F5671F10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4470" xr:uid="{24F283F4-86F7-4901-9CFB-F12EC82DB12A}"/>
    <cellStyle name="40% - Accent2 2 2 2 3 2 2 3" xfId="16029" xr:uid="{555778A8-3411-4210-B37B-0B812297C943}"/>
    <cellStyle name="40% - Accent2 2 2 2 3 2 3" xfId="20252" xr:uid="{7FC6D6FE-0BFE-47AA-AB77-FDA85BF53E37}"/>
    <cellStyle name="40% - Accent2 2 2 2 3 2 4" xfId="11810" xr:uid="{1C99584E-83FE-4FDA-BB2C-9663555E5718}"/>
    <cellStyle name="40% - Accent2 2 2 2 3 3" xfId="5390" xr:uid="{00000000-0005-0000-0000-00006C040000}"/>
    <cellStyle name="40% - Accent2 2 2 2 3 3 2" xfId="22325" xr:uid="{BA952F7E-9AF8-4C7C-B93C-6BD83538F95C}"/>
    <cellStyle name="40% - Accent2 2 2 2 3 3 3" xfId="13884" xr:uid="{8A4A7F78-39D5-4E95-BEA2-B7BD6204304A}"/>
    <cellStyle name="40% - Accent2 2 2 2 3 4" xfId="18107" xr:uid="{1A47BEAD-7830-4483-B217-28BA421721FC}"/>
    <cellStyle name="40% - Accent2 2 2 2 3 5" xfId="9633" xr:uid="{8650F4A0-F4CE-404C-B6D3-A46C149CF9CA}"/>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4883" xr:uid="{D689E278-2016-4036-8307-686D556A1785}"/>
    <cellStyle name="40% - Accent2 2 2 2 4 2 2 3" xfId="16442" xr:uid="{C8F43DD6-D740-41F8-ABB5-0AB1CC95EA16}"/>
    <cellStyle name="40% - Accent2 2 2 2 4 2 3" xfId="20665" xr:uid="{4C5384B0-7022-4D4F-AD4C-30E6FB69F8A8}"/>
    <cellStyle name="40% - Accent2 2 2 2 4 2 4" xfId="12223" xr:uid="{92F5B515-7316-4D9C-9295-7D69CFC3E59C}"/>
    <cellStyle name="40% - Accent2 2 2 2 4 3" xfId="5803" xr:uid="{00000000-0005-0000-0000-000070040000}"/>
    <cellStyle name="40% - Accent2 2 2 2 4 3 2" xfId="22738" xr:uid="{C5558C33-EBE6-427C-9B96-2ECDBBE7F47C}"/>
    <cellStyle name="40% - Accent2 2 2 2 4 3 3" xfId="14297" xr:uid="{878C1576-8BE9-45DE-A6F2-788E599967FD}"/>
    <cellStyle name="40% - Accent2 2 2 2 4 4" xfId="18520" xr:uid="{AD5B59A8-6685-4F5B-8584-553C4DF8617F}"/>
    <cellStyle name="40% - Accent2 2 2 2 4 5" xfId="10046" xr:uid="{D852D054-2707-4AC2-87AF-1444780081C4}"/>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5296" xr:uid="{BD5C73A4-8CB8-4A6C-8F4C-21EBC022A1F9}"/>
    <cellStyle name="40% - Accent2 2 2 2 5 2 2 3" xfId="16855" xr:uid="{422AFDF5-5C15-467B-BC3C-49939DC4E167}"/>
    <cellStyle name="40% - Accent2 2 2 2 5 2 3" xfId="21078" xr:uid="{1D8865BF-0133-4C5C-9D63-114A9CF4AFC2}"/>
    <cellStyle name="40% - Accent2 2 2 2 5 2 4" xfId="12636" xr:uid="{32F18AF6-1577-48F4-9ABD-15DFD0AFC46C}"/>
    <cellStyle name="40% - Accent2 2 2 2 5 3" xfId="6216" xr:uid="{00000000-0005-0000-0000-000074040000}"/>
    <cellStyle name="40% - Accent2 2 2 2 5 3 2" xfId="23151" xr:uid="{19F6DD98-0289-49C9-A529-88A43C4ABD3C}"/>
    <cellStyle name="40% - Accent2 2 2 2 5 3 3" xfId="14710" xr:uid="{5619A671-16FC-4B0D-836D-2D5B8F91FED9}"/>
    <cellStyle name="40% - Accent2 2 2 2 5 4" xfId="18933" xr:uid="{9D5B05A7-6888-430A-8EBB-3EE27907F57A}"/>
    <cellStyle name="40% - Accent2 2 2 2 5 5" xfId="10459" xr:uid="{174953C5-5A06-41BF-893D-53F35DE92ECF}"/>
    <cellStyle name="40% - Accent2 2 2 2 6" xfId="2323" xr:uid="{00000000-0005-0000-0000-000075040000}"/>
    <cellStyle name="40% - Accent2 2 2 2 6 2" xfId="6629" xr:uid="{00000000-0005-0000-0000-000076040000}"/>
    <cellStyle name="40% - Accent2 2 2 2 6 2 2" xfId="23564" xr:uid="{7310216D-692F-4AC3-B54D-D0DA91B783B2}"/>
    <cellStyle name="40% - Accent2 2 2 2 6 2 3" xfId="15123" xr:uid="{AD39A0AF-2E66-4879-9452-AF5E2716E209}"/>
    <cellStyle name="40% - Accent2 2 2 2 6 3" xfId="19346" xr:uid="{1BD47949-721E-491E-9B3B-5035B28BE181}"/>
    <cellStyle name="40% - Accent2 2 2 2 6 4" xfId="10872" xr:uid="{80882FC8-3987-44AD-897D-F86F401396AB}"/>
    <cellStyle name="40% - Accent2 2 2 2 7" xfId="4563" xr:uid="{00000000-0005-0000-0000-000077040000}"/>
    <cellStyle name="40% - Accent2 2 2 2 7 2" xfId="21498" xr:uid="{781B9656-A20A-4506-9A0C-1AB66156D7A3}"/>
    <cellStyle name="40% - Accent2 2 2 2 7 3" xfId="13057" xr:uid="{CA0D129F-F77F-4A62-9FEC-2342EAB40710}"/>
    <cellStyle name="40% - Accent2 2 2 2 8" xfId="17280" xr:uid="{9E5D89BE-9017-41B1-8F9F-1392B8AFC84F}"/>
    <cellStyle name="40% - Accent2 2 2 2 9" xfId="8795" xr:uid="{5947D2AB-9086-4BC4-B7EC-291E04B1F122}"/>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056" xr:uid="{3DBFF9E7-AF4F-40C5-87CA-C3F672DC8B50}"/>
    <cellStyle name="40% - Accent2 2 2 3 2 2 3" xfId="15615" xr:uid="{EC9EFE17-2E8E-4A57-82B0-74648D7C3E64}"/>
    <cellStyle name="40% - Accent2 2 2 3 2 3" xfId="19838" xr:uid="{79995604-D2D6-446D-A191-4714D2E84D9D}"/>
    <cellStyle name="40% - Accent2 2 2 3 2 4" xfId="11396" xr:uid="{18072529-06DA-49A4-827F-F5114C954CF1}"/>
    <cellStyle name="40% - Accent2 2 2 3 3" xfId="4976" xr:uid="{00000000-0005-0000-0000-00007B040000}"/>
    <cellStyle name="40% - Accent2 2 2 3 3 2" xfId="21911" xr:uid="{AE8AE781-D7C8-4E7C-A476-AB81AD8AEF30}"/>
    <cellStyle name="40% - Accent2 2 2 3 3 3" xfId="13470" xr:uid="{DE0ECA3D-EAA8-44FD-864E-5D0B80635E72}"/>
    <cellStyle name="40% - Accent2 2 2 3 4" xfId="17693" xr:uid="{9D4C16DB-B1B5-4CDF-9F8F-46F920774FFE}"/>
    <cellStyle name="40% - Accent2 2 2 3 5" xfId="9218" xr:uid="{9FFC60C8-19EC-4EF5-A402-0BC3B57D52F9}"/>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4469" xr:uid="{CB603FFE-75C3-4303-BCDB-14A82D507BFD}"/>
    <cellStyle name="40% - Accent2 2 2 4 2 2 3" xfId="16028" xr:uid="{E7AAF03C-7F6E-48F4-9BE2-DF54E7C070E3}"/>
    <cellStyle name="40% - Accent2 2 2 4 2 3" xfId="20251" xr:uid="{F44E52F5-33B5-490B-A1D8-38D11E8EEB5A}"/>
    <cellStyle name="40% - Accent2 2 2 4 2 4" xfId="11809" xr:uid="{A61E2C51-B5E2-40B2-83A3-45B811F56514}"/>
    <cellStyle name="40% - Accent2 2 2 4 3" xfId="5389" xr:uid="{00000000-0005-0000-0000-00007F040000}"/>
    <cellStyle name="40% - Accent2 2 2 4 3 2" xfId="22324" xr:uid="{3D390944-80D3-4F88-8FD5-7B41B4E45BB4}"/>
    <cellStyle name="40% - Accent2 2 2 4 3 3" xfId="13883" xr:uid="{E9E290D0-CB8A-48BB-8803-B17D1B79519F}"/>
    <cellStyle name="40% - Accent2 2 2 4 4" xfId="18106" xr:uid="{0E283140-E5A3-4A9E-BC50-DDA91E93EF82}"/>
    <cellStyle name="40% - Accent2 2 2 4 5" xfId="9632" xr:uid="{C8C587F9-C28E-4D78-ACA1-F450449FB31E}"/>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4882" xr:uid="{BDE99A95-A94E-4437-A758-9462460B8211}"/>
    <cellStyle name="40% - Accent2 2 2 5 2 2 3" xfId="16441" xr:uid="{DD3A232D-7DA5-426D-A592-A63095C9A4A3}"/>
    <cellStyle name="40% - Accent2 2 2 5 2 3" xfId="20664" xr:uid="{16DE6406-BF10-476F-888F-8EDDA02BD489}"/>
    <cellStyle name="40% - Accent2 2 2 5 2 4" xfId="12222" xr:uid="{A0548AEA-0B67-478A-B798-654B00038636}"/>
    <cellStyle name="40% - Accent2 2 2 5 3" xfId="5802" xr:uid="{00000000-0005-0000-0000-000083040000}"/>
    <cellStyle name="40% - Accent2 2 2 5 3 2" xfId="22737" xr:uid="{CA9ECCB9-3C5A-4845-9005-C025A935A4F0}"/>
    <cellStyle name="40% - Accent2 2 2 5 3 3" xfId="14296" xr:uid="{A997FBBB-7AA7-4D64-99CF-CA609AAE4B11}"/>
    <cellStyle name="40% - Accent2 2 2 5 4" xfId="18519" xr:uid="{DC4F8E42-66E9-4949-8564-12217770724F}"/>
    <cellStyle name="40% - Accent2 2 2 5 5" xfId="10045" xr:uid="{1E1F1556-59E6-41E8-A886-4C281CB82B7A}"/>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5295" xr:uid="{17E963B5-965E-4BD9-AC23-DE12EF1FC3EE}"/>
    <cellStyle name="40% - Accent2 2 2 6 2 2 3" xfId="16854" xr:uid="{116FB872-2336-4AE4-90A6-D0C592DCB36D}"/>
    <cellStyle name="40% - Accent2 2 2 6 2 3" xfId="21077" xr:uid="{3DABABCA-6EAB-47F7-AC4F-84F352B3B7F8}"/>
    <cellStyle name="40% - Accent2 2 2 6 2 4" xfId="12635" xr:uid="{48751F98-57D5-44BF-9C3E-FC00856E300A}"/>
    <cellStyle name="40% - Accent2 2 2 6 3" xfId="6215" xr:uid="{00000000-0005-0000-0000-000087040000}"/>
    <cellStyle name="40% - Accent2 2 2 6 3 2" xfId="23150" xr:uid="{2016A176-3F08-4077-89D3-B4FF57152D8F}"/>
    <cellStyle name="40% - Accent2 2 2 6 3 3" xfId="14709" xr:uid="{CE6F1539-0A50-4CB3-9605-1A59FEDB73FE}"/>
    <cellStyle name="40% - Accent2 2 2 6 4" xfId="18932" xr:uid="{A1307909-4FC4-4AE2-8E61-65BDDC2CECAB}"/>
    <cellStyle name="40% - Accent2 2 2 6 5" xfId="10458" xr:uid="{46C16843-5254-4638-9681-B66A87A50870}"/>
    <cellStyle name="40% - Accent2 2 2 7" xfId="2322" xr:uid="{00000000-0005-0000-0000-000088040000}"/>
    <cellStyle name="40% - Accent2 2 2 7 2" xfId="6628" xr:uid="{00000000-0005-0000-0000-000089040000}"/>
    <cellStyle name="40% - Accent2 2 2 7 2 2" xfId="23563" xr:uid="{8BEDD71F-FDA9-49AD-A0B4-24761F518E00}"/>
    <cellStyle name="40% - Accent2 2 2 7 2 3" xfId="15122" xr:uid="{00BDD2B4-C437-4FC9-8546-38E94A6B4C63}"/>
    <cellStyle name="40% - Accent2 2 2 7 3" xfId="19345" xr:uid="{AA74F60E-D16E-4186-B758-BA06A1586394}"/>
    <cellStyle name="40% - Accent2 2 2 7 4" xfId="10871" xr:uid="{FF0B8FA0-0B0F-4282-8B3A-DD7EC96AB632}"/>
    <cellStyle name="40% - Accent2 2 2 8" xfId="4562" xr:uid="{00000000-0005-0000-0000-00008A040000}"/>
    <cellStyle name="40% - Accent2 2 2 8 2" xfId="21497" xr:uid="{B48EE89B-6622-4820-BC1C-9E2B39B52E55}"/>
    <cellStyle name="40% - Accent2 2 2 8 3" xfId="13056" xr:uid="{ACB1D8AC-791B-4716-9C57-2E243D853C09}"/>
    <cellStyle name="40% - Accent2 2 2 9" xfId="17279" xr:uid="{809CFD2A-B3F7-4BE5-8A03-A7D430404F07}"/>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058" xr:uid="{C689405F-9CC5-4F97-8EF7-86B87BE033DE}"/>
    <cellStyle name="40% - Accent2 2 3 2 2 2 3" xfId="15617" xr:uid="{8E2942DC-4E53-452B-95A2-50D32A0B88D0}"/>
    <cellStyle name="40% - Accent2 2 3 2 2 3" xfId="19840" xr:uid="{BE55F3DA-C15F-49B8-8AAB-DA77927B1711}"/>
    <cellStyle name="40% - Accent2 2 3 2 2 4" xfId="11398" xr:uid="{B08B78BC-5FF7-415D-BBC8-9CCDA3ADF363}"/>
    <cellStyle name="40% - Accent2 2 3 2 3" xfId="4978" xr:uid="{00000000-0005-0000-0000-00008F040000}"/>
    <cellStyle name="40% - Accent2 2 3 2 3 2" xfId="21913" xr:uid="{3DF8A18C-704A-49B7-A055-AA677E59341B}"/>
    <cellStyle name="40% - Accent2 2 3 2 3 3" xfId="13472" xr:uid="{CB9D6434-F011-478F-AC5E-1A10B17E3AB8}"/>
    <cellStyle name="40% - Accent2 2 3 2 4" xfId="17695" xr:uid="{5D90E2CE-B084-42D2-B5C2-EFDBE8E1DB26}"/>
    <cellStyle name="40% - Accent2 2 3 2 5" xfId="9220" xr:uid="{40F1587A-455A-4080-B3A8-E4ABC5C212CF}"/>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4471" xr:uid="{62EA5B9F-D876-4874-9B44-FAEED58EE5C1}"/>
    <cellStyle name="40% - Accent2 2 3 3 2 2 3" xfId="16030" xr:uid="{1D708666-EEB5-401D-A8C8-BF8C4AC31597}"/>
    <cellStyle name="40% - Accent2 2 3 3 2 3" xfId="20253" xr:uid="{FCEA36EF-6A84-4334-9E6A-44033F96D45B}"/>
    <cellStyle name="40% - Accent2 2 3 3 2 4" xfId="11811" xr:uid="{9E5F00CF-4802-4968-8F14-2237D4232064}"/>
    <cellStyle name="40% - Accent2 2 3 3 3" xfId="5391" xr:uid="{00000000-0005-0000-0000-000093040000}"/>
    <cellStyle name="40% - Accent2 2 3 3 3 2" xfId="22326" xr:uid="{A339D0A9-3255-4BBB-B3C8-F0FEB87BD68E}"/>
    <cellStyle name="40% - Accent2 2 3 3 3 3" xfId="13885" xr:uid="{4048916B-F202-4791-950A-01DA7EE4BE98}"/>
    <cellStyle name="40% - Accent2 2 3 3 4" xfId="18108" xr:uid="{2E4BAFDE-66DD-4E13-A021-80412D924190}"/>
    <cellStyle name="40% - Accent2 2 3 3 5" xfId="9634" xr:uid="{6DC2B9B1-BB3C-44E1-ADFA-D64264E74C4B}"/>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4884" xr:uid="{2C02C183-546A-4D16-A09C-5164F7BE57D0}"/>
    <cellStyle name="40% - Accent2 2 3 4 2 2 3" xfId="16443" xr:uid="{F0314184-F736-4989-A921-5BD582EB004A}"/>
    <cellStyle name="40% - Accent2 2 3 4 2 3" xfId="20666" xr:uid="{A95DBEA8-CFCF-4F30-AD0E-A13755CC74F6}"/>
    <cellStyle name="40% - Accent2 2 3 4 2 4" xfId="12224" xr:uid="{56A2253C-E776-4459-9B8E-049339660FF3}"/>
    <cellStyle name="40% - Accent2 2 3 4 3" xfId="5804" xr:uid="{00000000-0005-0000-0000-000097040000}"/>
    <cellStyle name="40% - Accent2 2 3 4 3 2" xfId="22739" xr:uid="{6DB49DBF-7607-474E-9148-8D31A3367B28}"/>
    <cellStyle name="40% - Accent2 2 3 4 3 3" xfId="14298" xr:uid="{539C9B28-E402-4D17-96B0-BE4C5DE52D6C}"/>
    <cellStyle name="40% - Accent2 2 3 4 4" xfId="18521" xr:uid="{7976A882-3EC3-45F3-A2F5-AE3AD70B7D16}"/>
    <cellStyle name="40% - Accent2 2 3 4 5" xfId="10047" xr:uid="{0217373A-DBD7-4917-8D9F-84E0828FA121}"/>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5297" xr:uid="{8388F8FF-3C05-41FE-A812-E024A896BC0A}"/>
    <cellStyle name="40% - Accent2 2 3 5 2 2 3" xfId="16856" xr:uid="{4C71B43F-A767-4DD2-9249-D89A0CC2D5D0}"/>
    <cellStyle name="40% - Accent2 2 3 5 2 3" xfId="21079" xr:uid="{659AB510-2620-4E33-A540-F277116B2F19}"/>
    <cellStyle name="40% - Accent2 2 3 5 2 4" xfId="12637" xr:uid="{040E56D8-2571-4541-881D-85CBF3BEA47C}"/>
    <cellStyle name="40% - Accent2 2 3 5 3" xfId="6217" xr:uid="{00000000-0005-0000-0000-00009B040000}"/>
    <cellStyle name="40% - Accent2 2 3 5 3 2" xfId="23152" xr:uid="{9613BA5B-F66E-407D-8BF6-449067DDC6B1}"/>
    <cellStyle name="40% - Accent2 2 3 5 3 3" xfId="14711" xr:uid="{FF6D17D3-9150-4FC3-820E-C5AB78B91BB5}"/>
    <cellStyle name="40% - Accent2 2 3 5 4" xfId="18934" xr:uid="{95DAEA65-A0F5-4AE5-B636-FEF04FB71DC1}"/>
    <cellStyle name="40% - Accent2 2 3 5 5" xfId="10460" xr:uid="{AF94E98C-BD83-4090-B2D7-453F825BBB09}"/>
    <cellStyle name="40% - Accent2 2 3 6" xfId="2324" xr:uid="{00000000-0005-0000-0000-00009C040000}"/>
    <cellStyle name="40% - Accent2 2 3 6 2" xfId="6630" xr:uid="{00000000-0005-0000-0000-00009D040000}"/>
    <cellStyle name="40% - Accent2 2 3 6 2 2" xfId="23565" xr:uid="{A7C46E9C-2CFE-46FF-903E-AFD6B910E98A}"/>
    <cellStyle name="40% - Accent2 2 3 6 2 3" xfId="15124" xr:uid="{4A8A088C-6768-44CD-87AF-DF57E79653F7}"/>
    <cellStyle name="40% - Accent2 2 3 6 3" xfId="19347" xr:uid="{53BE127E-997B-4BEC-BF85-C9C06C31AF32}"/>
    <cellStyle name="40% - Accent2 2 3 6 4" xfId="10873" xr:uid="{364FD8B6-AD0A-4ECF-BC3D-4F28C1570AAA}"/>
    <cellStyle name="40% - Accent2 2 3 7" xfId="4564" xr:uid="{00000000-0005-0000-0000-00009E040000}"/>
    <cellStyle name="40% - Accent2 2 3 7 2" xfId="21499" xr:uid="{BEAE1EBB-C37F-4DC4-B3BB-6199A6DC5BD0}"/>
    <cellStyle name="40% - Accent2 2 3 7 3" xfId="13058" xr:uid="{DBE5FA77-719D-48E5-8192-232E024FB9F8}"/>
    <cellStyle name="40% - Accent2 2 3 8" xfId="17281" xr:uid="{500DDEAB-1BD9-4036-B640-C1BAA6B19874}"/>
    <cellStyle name="40% - Accent2 2 3 9" xfId="8796" xr:uid="{CCA8979A-D0AA-4751-AFF7-53BAC837DF12}"/>
    <cellStyle name="40% - Accent2 2 4" xfId="627" xr:uid="{00000000-0005-0000-0000-00009F040000}"/>
    <cellStyle name="40% - Accent2 2 4 2" xfId="2898" xr:uid="{00000000-0005-0000-0000-0000A0040000}"/>
    <cellStyle name="40% - Accent2 2 4 2 2" xfId="7120" xr:uid="{00000000-0005-0000-0000-0000A1040000}"/>
    <cellStyle name="40% - Accent2 2 4 2 2 2" xfId="24055" xr:uid="{F28F426C-DA20-4EFC-9F3B-3990F9837938}"/>
    <cellStyle name="40% - Accent2 2 4 2 2 3" xfId="15614" xr:uid="{18126CA0-09CA-4429-A93B-023BD59554A5}"/>
    <cellStyle name="40% - Accent2 2 4 2 3" xfId="19837" xr:uid="{54650ECB-4C3E-4909-9F2C-08B143E0D6AC}"/>
    <cellStyle name="40% - Accent2 2 4 2 4" xfId="11395" xr:uid="{9235DFE4-4EF6-42A7-B083-BC1CE7057799}"/>
    <cellStyle name="40% - Accent2 2 4 3" xfId="4975" xr:uid="{00000000-0005-0000-0000-0000A2040000}"/>
    <cellStyle name="40% - Accent2 2 4 3 2" xfId="21910" xr:uid="{052CBEA2-109C-41B6-91BD-A1DDA6A30AB4}"/>
    <cellStyle name="40% - Accent2 2 4 3 3" xfId="13469" xr:uid="{1EC7D134-1C8F-414D-9AB8-E0EDB810C932}"/>
    <cellStyle name="40% - Accent2 2 4 4" xfId="17692" xr:uid="{77E873CB-D48C-46AD-8029-B46891EE1937}"/>
    <cellStyle name="40% - Accent2 2 4 5" xfId="9217" xr:uid="{67A1C4FA-6830-49BA-961F-CC4007E7D682}"/>
    <cellStyle name="40% - Accent2 2 5" xfId="1080" xr:uid="{00000000-0005-0000-0000-0000A3040000}"/>
    <cellStyle name="40% - Accent2 2 5 2" xfId="3311" xr:uid="{00000000-0005-0000-0000-0000A4040000}"/>
    <cellStyle name="40% - Accent2 2 5 2 2" xfId="7533" xr:uid="{00000000-0005-0000-0000-0000A5040000}"/>
    <cellStyle name="40% - Accent2 2 5 2 2 2" xfId="24468" xr:uid="{7747ABA4-6A25-432C-B1C6-4DBD4D569F2E}"/>
    <cellStyle name="40% - Accent2 2 5 2 2 3" xfId="16027" xr:uid="{AC39A619-A41A-4B2D-8C4F-0CE5047DD327}"/>
    <cellStyle name="40% - Accent2 2 5 2 3" xfId="20250" xr:uid="{5E75AA36-63D7-40DB-B129-18DB18716D98}"/>
    <cellStyle name="40% - Accent2 2 5 2 4" xfId="11808" xr:uid="{6A0A8FF3-E36C-4CFC-8FD8-3BF5F29B6858}"/>
    <cellStyle name="40% - Accent2 2 5 3" xfId="5388" xr:uid="{00000000-0005-0000-0000-0000A6040000}"/>
    <cellStyle name="40% - Accent2 2 5 3 2" xfId="22323" xr:uid="{80BBC81A-9C89-40DF-BC61-8BD5F79F1399}"/>
    <cellStyle name="40% - Accent2 2 5 3 3" xfId="13882" xr:uid="{7DF6377B-7699-4CA4-98C3-C62CE44CC294}"/>
    <cellStyle name="40% - Accent2 2 5 4" xfId="18105" xr:uid="{1A5A6093-5862-40A5-97E7-85F76553C08A}"/>
    <cellStyle name="40% - Accent2 2 5 5" xfId="9631" xr:uid="{50391105-32E7-443B-8A39-32E70466B705}"/>
    <cellStyle name="40% - Accent2 2 6" xfId="1494" xr:uid="{00000000-0005-0000-0000-0000A7040000}"/>
    <cellStyle name="40% - Accent2 2 6 2" xfId="3724" xr:uid="{00000000-0005-0000-0000-0000A8040000}"/>
    <cellStyle name="40% - Accent2 2 6 2 2" xfId="7946" xr:uid="{00000000-0005-0000-0000-0000A9040000}"/>
    <cellStyle name="40% - Accent2 2 6 2 2 2" xfId="24881" xr:uid="{F612FCF9-E362-4D0F-852D-254A0DC1C8BE}"/>
    <cellStyle name="40% - Accent2 2 6 2 2 3" xfId="16440" xr:uid="{9ECA2590-DA8E-46C5-94FD-D7224C3BF1A6}"/>
    <cellStyle name="40% - Accent2 2 6 2 3" xfId="20663" xr:uid="{31B2FD5D-68A5-4A57-957F-5004668664DC}"/>
    <cellStyle name="40% - Accent2 2 6 2 4" xfId="12221" xr:uid="{D8517480-E175-4B91-8F7F-2F6768961B9D}"/>
    <cellStyle name="40% - Accent2 2 6 3" xfId="5801" xr:uid="{00000000-0005-0000-0000-0000AA040000}"/>
    <cellStyle name="40% - Accent2 2 6 3 2" xfId="22736" xr:uid="{9EAF9F40-CDF1-4B7C-B279-EDF484C71785}"/>
    <cellStyle name="40% - Accent2 2 6 3 3" xfId="14295" xr:uid="{1BEF44DB-5970-4794-8F54-22233DD4EE0C}"/>
    <cellStyle name="40% - Accent2 2 6 4" xfId="18518" xr:uid="{7B912EB7-B3C3-4957-9F4B-0DFB233698A8}"/>
    <cellStyle name="40% - Accent2 2 6 5" xfId="10044" xr:uid="{03B60EB7-F961-4F5F-BA7F-21C90E0B9A62}"/>
    <cellStyle name="40% - Accent2 2 7" xfId="1908" xr:uid="{00000000-0005-0000-0000-0000AB040000}"/>
    <cellStyle name="40% - Accent2 2 7 2" xfId="4137" xr:uid="{00000000-0005-0000-0000-0000AC040000}"/>
    <cellStyle name="40% - Accent2 2 7 2 2" xfId="8359" xr:uid="{00000000-0005-0000-0000-0000AD040000}"/>
    <cellStyle name="40% - Accent2 2 7 2 2 2" xfId="25294" xr:uid="{59064EA8-A936-4B00-8494-3B19F8960393}"/>
    <cellStyle name="40% - Accent2 2 7 2 2 3" xfId="16853" xr:uid="{2255A789-2FB7-43EF-AE37-94ECCA6C4CF4}"/>
    <cellStyle name="40% - Accent2 2 7 2 3" xfId="21076" xr:uid="{1A4ACFE3-06F3-4604-B875-7B6C32631352}"/>
    <cellStyle name="40% - Accent2 2 7 2 4" xfId="12634" xr:uid="{C3F18006-EE2B-4FEE-92F8-3F20B8A9B69D}"/>
    <cellStyle name="40% - Accent2 2 7 3" xfId="6214" xr:uid="{00000000-0005-0000-0000-0000AE040000}"/>
    <cellStyle name="40% - Accent2 2 7 3 2" xfId="23149" xr:uid="{FFC8F5A0-99ED-44B7-8CB6-DFFC96FC2E3C}"/>
    <cellStyle name="40% - Accent2 2 7 3 3" xfId="14708" xr:uid="{B315A1A4-3820-456D-AE76-15407B0FAB30}"/>
    <cellStyle name="40% - Accent2 2 7 4" xfId="18931" xr:uid="{EF321F10-4C02-4F93-A54C-17E9FA131EF8}"/>
    <cellStyle name="40% - Accent2 2 7 5" xfId="10457" xr:uid="{29BB9420-6B58-46FF-9B91-7E5F1CA3F0F3}"/>
    <cellStyle name="40% - Accent2 2 8" xfId="2321" xr:uid="{00000000-0005-0000-0000-0000AF040000}"/>
    <cellStyle name="40% - Accent2 2 8 2" xfId="6627" xr:uid="{00000000-0005-0000-0000-0000B0040000}"/>
    <cellStyle name="40% - Accent2 2 8 2 2" xfId="23562" xr:uid="{06676F21-C396-400B-B643-46A42847547F}"/>
    <cellStyle name="40% - Accent2 2 8 2 3" xfId="15121" xr:uid="{355DB137-40D8-4DBC-8C1D-6082C6113680}"/>
    <cellStyle name="40% - Accent2 2 8 3" xfId="19344" xr:uid="{12759248-7C05-4302-A874-03AF1055075C}"/>
    <cellStyle name="40% - Accent2 2 8 4" xfId="10870" xr:uid="{8C627958-AAC8-4B1C-8ECA-3328E316716E}"/>
    <cellStyle name="40% - Accent2 2 9" xfId="4561" xr:uid="{00000000-0005-0000-0000-0000B1040000}"/>
    <cellStyle name="40% - Accent2 2 9 2" xfId="21496" xr:uid="{841C7416-AB4F-475D-938B-F0BC956DEEB9}"/>
    <cellStyle name="40% - Accent2 2 9 3" xfId="13055" xr:uid="{2C0815C0-DA4D-4D07-B571-56ECECFEFD74}"/>
    <cellStyle name="40% - Accent2 3" xfId="62" xr:uid="{00000000-0005-0000-0000-0000B2040000}"/>
    <cellStyle name="40% - Accent2 3 10" xfId="8797" xr:uid="{27F9B296-E7E0-4BAE-976A-DF81A9F260BD}"/>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060" xr:uid="{50FB2336-EB09-4EC1-AA5E-826C22CFBC5C}"/>
    <cellStyle name="40% - Accent2 3 2 2 2 2 3" xfId="15619" xr:uid="{FCABD2A4-648D-40E9-93CD-C1F64E901B31}"/>
    <cellStyle name="40% - Accent2 3 2 2 2 3" xfId="19842" xr:uid="{CB92FD91-459A-4001-823E-8D0CD6256825}"/>
    <cellStyle name="40% - Accent2 3 2 2 2 4" xfId="11400" xr:uid="{184CD9DD-3433-47D1-A779-B877BB187E70}"/>
    <cellStyle name="40% - Accent2 3 2 2 3" xfId="4980" xr:uid="{00000000-0005-0000-0000-0000B7040000}"/>
    <cellStyle name="40% - Accent2 3 2 2 3 2" xfId="21915" xr:uid="{6B12C6E0-FD0E-4651-AEBE-504C13F46224}"/>
    <cellStyle name="40% - Accent2 3 2 2 3 3" xfId="13474" xr:uid="{6381339B-3F1D-4F3F-B4F9-F8DF98C7A9BD}"/>
    <cellStyle name="40% - Accent2 3 2 2 4" xfId="17697" xr:uid="{5411DD72-6E44-4D39-B1E8-F3D0166917AA}"/>
    <cellStyle name="40% - Accent2 3 2 2 5" xfId="9222" xr:uid="{F85C4FE7-0428-48E6-BD1E-5D8ACBC9BA14}"/>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4473" xr:uid="{C798007D-9E82-4643-9C55-43628369868C}"/>
    <cellStyle name="40% - Accent2 3 2 3 2 2 3" xfId="16032" xr:uid="{9A423B63-6D5A-4DB9-849E-49D9B0E1C3C4}"/>
    <cellStyle name="40% - Accent2 3 2 3 2 3" xfId="20255" xr:uid="{202092A2-B56A-438A-95F4-61DE1C324522}"/>
    <cellStyle name="40% - Accent2 3 2 3 2 4" xfId="11813" xr:uid="{61CD7EE1-311B-41A6-984E-21A3BEBEEAA1}"/>
    <cellStyle name="40% - Accent2 3 2 3 3" xfId="5393" xr:uid="{00000000-0005-0000-0000-0000BB040000}"/>
    <cellStyle name="40% - Accent2 3 2 3 3 2" xfId="22328" xr:uid="{A87C77AA-6B93-49BB-960A-5867C51917CF}"/>
    <cellStyle name="40% - Accent2 3 2 3 3 3" xfId="13887" xr:uid="{1906E436-156D-457E-8CEC-677157DC1B50}"/>
    <cellStyle name="40% - Accent2 3 2 3 4" xfId="18110" xr:uid="{40852AE5-7509-41CB-8E20-BF1A6DCC51A3}"/>
    <cellStyle name="40% - Accent2 3 2 3 5" xfId="9636" xr:uid="{C91CE375-496D-4E9A-97C4-01E993B493FC}"/>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4886" xr:uid="{CF9B552B-63F3-4E2D-AC64-44B2FCB16959}"/>
    <cellStyle name="40% - Accent2 3 2 4 2 2 3" xfId="16445" xr:uid="{BA61F750-D282-49A2-B831-4E54391332BA}"/>
    <cellStyle name="40% - Accent2 3 2 4 2 3" xfId="20668" xr:uid="{A757CABC-A7B2-4206-9F2E-1770E675D914}"/>
    <cellStyle name="40% - Accent2 3 2 4 2 4" xfId="12226" xr:uid="{9838E53C-F3B6-4970-AABF-0BFA1C22A9DA}"/>
    <cellStyle name="40% - Accent2 3 2 4 3" xfId="5806" xr:uid="{00000000-0005-0000-0000-0000BF040000}"/>
    <cellStyle name="40% - Accent2 3 2 4 3 2" xfId="22741" xr:uid="{BE3B052D-7B37-4AE5-BFD5-1FD02B402AD3}"/>
    <cellStyle name="40% - Accent2 3 2 4 3 3" xfId="14300" xr:uid="{4B11EC8B-505F-4ABE-B30C-657D2D4F3D3E}"/>
    <cellStyle name="40% - Accent2 3 2 4 4" xfId="18523" xr:uid="{8AA66DA7-625B-46BD-9C94-B118107FC2F2}"/>
    <cellStyle name="40% - Accent2 3 2 4 5" xfId="10049" xr:uid="{A569F0FD-91BE-45F4-A374-C6D10EDF4351}"/>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5299" xr:uid="{F2EE9D2C-C9A3-4DE1-B178-56D623A81F0E}"/>
    <cellStyle name="40% - Accent2 3 2 5 2 2 3" xfId="16858" xr:uid="{6AFFB220-288C-486C-9643-B831EFFE1F68}"/>
    <cellStyle name="40% - Accent2 3 2 5 2 3" xfId="21081" xr:uid="{233B80B3-92B8-4FD0-8CDD-7DC46928C699}"/>
    <cellStyle name="40% - Accent2 3 2 5 2 4" xfId="12639" xr:uid="{411850AB-654D-4E19-85BE-F51B3FEEF596}"/>
    <cellStyle name="40% - Accent2 3 2 5 3" xfId="6219" xr:uid="{00000000-0005-0000-0000-0000C3040000}"/>
    <cellStyle name="40% - Accent2 3 2 5 3 2" xfId="23154" xr:uid="{4EFDABD2-DF7C-48E0-8387-CD48CA9A9D31}"/>
    <cellStyle name="40% - Accent2 3 2 5 3 3" xfId="14713" xr:uid="{9E96B220-BC2E-4243-8963-22D425129AE7}"/>
    <cellStyle name="40% - Accent2 3 2 5 4" xfId="18936" xr:uid="{D66D7082-35A0-4D45-A862-4787594BC8EA}"/>
    <cellStyle name="40% - Accent2 3 2 5 5" xfId="10462" xr:uid="{5910AE8C-97B7-4A0F-9AF8-B5EC3B9A9E2B}"/>
    <cellStyle name="40% - Accent2 3 2 6" xfId="2326" xr:uid="{00000000-0005-0000-0000-0000C4040000}"/>
    <cellStyle name="40% - Accent2 3 2 6 2" xfId="6632" xr:uid="{00000000-0005-0000-0000-0000C5040000}"/>
    <cellStyle name="40% - Accent2 3 2 6 2 2" xfId="23567" xr:uid="{C25E07BA-5F21-4CEF-944D-2F68560D6927}"/>
    <cellStyle name="40% - Accent2 3 2 6 2 3" xfId="15126" xr:uid="{015594E7-6F98-4F54-BDC5-D3C5D7A04408}"/>
    <cellStyle name="40% - Accent2 3 2 6 3" xfId="19349" xr:uid="{8FD830B9-13D0-49CC-AC68-EC5DE26BB2DE}"/>
    <cellStyle name="40% - Accent2 3 2 6 4" xfId="10875" xr:uid="{85A8E068-8C04-466C-BC1C-1FC65FC8ADBB}"/>
    <cellStyle name="40% - Accent2 3 2 7" xfId="4566" xr:uid="{00000000-0005-0000-0000-0000C6040000}"/>
    <cellStyle name="40% - Accent2 3 2 7 2" xfId="21501" xr:uid="{ABCE59DF-4B22-4EA0-8051-9095F40EB7F7}"/>
    <cellStyle name="40% - Accent2 3 2 7 3" xfId="13060" xr:uid="{8B85A2DF-8242-47EE-9A86-C2FAF62AA246}"/>
    <cellStyle name="40% - Accent2 3 2 8" xfId="17283" xr:uid="{69EE2E68-2B8F-432C-9C5C-AE6CCB128DD4}"/>
    <cellStyle name="40% - Accent2 3 2 9" xfId="8798" xr:uid="{DECF4AB1-608C-4249-B23B-0BF4E4BE59FA}"/>
    <cellStyle name="40% - Accent2 3 3" xfId="631" xr:uid="{00000000-0005-0000-0000-0000C7040000}"/>
    <cellStyle name="40% - Accent2 3 3 2" xfId="2902" xr:uid="{00000000-0005-0000-0000-0000C8040000}"/>
    <cellStyle name="40% - Accent2 3 3 2 2" xfId="7124" xr:uid="{00000000-0005-0000-0000-0000C9040000}"/>
    <cellStyle name="40% - Accent2 3 3 2 2 2" xfId="24059" xr:uid="{2FECDF8F-C303-43FD-AF35-3F821C00A0A2}"/>
    <cellStyle name="40% - Accent2 3 3 2 2 3" xfId="15618" xr:uid="{CF35FFFD-2A19-4AD2-AFE5-BA51D266393B}"/>
    <cellStyle name="40% - Accent2 3 3 2 3" xfId="19841" xr:uid="{F3D4CD1F-6C0D-48D1-AF3C-8D530C86D2A2}"/>
    <cellStyle name="40% - Accent2 3 3 2 4" xfId="11399" xr:uid="{52452BC4-EEC1-4436-9226-801C117352E0}"/>
    <cellStyle name="40% - Accent2 3 3 3" xfId="4979" xr:uid="{00000000-0005-0000-0000-0000CA040000}"/>
    <cellStyle name="40% - Accent2 3 3 3 2" xfId="21914" xr:uid="{EBCD03A7-D3B9-4502-BAAF-F81A782AC289}"/>
    <cellStyle name="40% - Accent2 3 3 3 3" xfId="13473" xr:uid="{1512F472-8721-4CCD-B840-0C09661DB5E1}"/>
    <cellStyle name="40% - Accent2 3 3 4" xfId="17696" xr:uid="{573A1DB5-BDA3-4BDE-8A0F-4475CB9FA682}"/>
    <cellStyle name="40% - Accent2 3 3 5" xfId="9221" xr:uid="{3C83CCC9-7E61-4CE6-8920-58F6B3DCF7D9}"/>
    <cellStyle name="40% - Accent2 3 4" xfId="1084" xr:uid="{00000000-0005-0000-0000-0000CB040000}"/>
    <cellStyle name="40% - Accent2 3 4 2" xfId="3315" xr:uid="{00000000-0005-0000-0000-0000CC040000}"/>
    <cellStyle name="40% - Accent2 3 4 2 2" xfId="7537" xr:uid="{00000000-0005-0000-0000-0000CD040000}"/>
    <cellStyle name="40% - Accent2 3 4 2 2 2" xfId="24472" xr:uid="{08D3C18D-0D75-442B-9AD5-2C0B23F16F39}"/>
    <cellStyle name="40% - Accent2 3 4 2 2 3" xfId="16031" xr:uid="{771F799C-4C82-437F-9479-31647F3ECE77}"/>
    <cellStyle name="40% - Accent2 3 4 2 3" xfId="20254" xr:uid="{E95928CB-BBC6-45E3-9022-79967F127E92}"/>
    <cellStyle name="40% - Accent2 3 4 2 4" xfId="11812" xr:uid="{0840CF0C-A1F6-42C2-8F51-697053E9AC50}"/>
    <cellStyle name="40% - Accent2 3 4 3" xfId="5392" xr:uid="{00000000-0005-0000-0000-0000CE040000}"/>
    <cellStyle name="40% - Accent2 3 4 3 2" xfId="22327" xr:uid="{FE5C587E-7977-46F1-8F3A-F23B1CAFADD2}"/>
    <cellStyle name="40% - Accent2 3 4 3 3" xfId="13886" xr:uid="{93B4623C-A5F6-4AE1-A281-A7CB919372CE}"/>
    <cellStyle name="40% - Accent2 3 4 4" xfId="18109" xr:uid="{6D7152B6-D1FF-469E-BA4E-0E09F3919C90}"/>
    <cellStyle name="40% - Accent2 3 4 5" xfId="9635" xr:uid="{03CF1215-6813-4903-B6C1-700E0EFB4B00}"/>
    <cellStyle name="40% - Accent2 3 5" xfId="1498" xr:uid="{00000000-0005-0000-0000-0000CF040000}"/>
    <cellStyle name="40% - Accent2 3 5 2" xfId="3728" xr:uid="{00000000-0005-0000-0000-0000D0040000}"/>
    <cellStyle name="40% - Accent2 3 5 2 2" xfId="7950" xr:uid="{00000000-0005-0000-0000-0000D1040000}"/>
    <cellStyle name="40% - Accent2 3 5 2 2 2" xfId="24885" xr:uid="{6102F7E8-C9FF-4A8A-A579-A2144A7E2350}"/>
    <cellStyle name="40% - Accent2 3 5 2 2 3" xfId="16444" xr:uid="{8BAFE74C-0138-4CA6-9D88-160523DE271E}"/>
    <cellStyle name="40% - Accent2 3 5 2 3" xfId="20667" xr:uid="{E9EFFB52-6CD3-4792-8525-63B52C939725}"/>
    <cellStyle name="40% - Accent2 3 5 2 4" xfId="12225" xr:uid="{8D778A16-8D53-454D-A5B2-08983E7717DE}"/>
    <cellStyle name="40% - Accent2 3 5 3" xfId="5805" xr:uid="{00000000-0005-0000-0000-0000D2040000}"/>
    <cellStyle name="40% - Accent2 3 5 3 2" xfId="22740" xr:uid="{ED6F6D0A-59C1-4BE1-993F-925BEFBC3332}"/>
    <cellStyle name="40% - Accent2 3 5 3 3" xfId="14299" xr:uid="{E3209B23-6D03-443C-95F2-7BB4EA6123E8}"/>
    <cellStyle name="40% - Accent2 3 5 4" xfId="18522" xr:uid="{7532E7CC-5D8B-4B90-BBDB-F75FD8DA0E2A}"/>
    <cellStyle name="40% - Accent2 3 5 5" xfId="10048" xr:uid="{B6929654-53AE-4B9A-95FA-D31CD1646E2F}"/>
    <cellStyle name="40% - Accent2 3 6" xfId="1912" xr:uid="{00000000-0005-0000-0000-0000D3040000}"/>
    <cellStyle name="40% - Accent2 3 6 2" xfId="4141" xr:uid="{00000000-0005-0000-0000-0000D4040000}"/>
    <cellStyle name="40% - Accent2 3 6 2 2" xfId="8363" xr:uid="{00000000-0005-0000-0000-0000D5040000}"/>
    <cellStyle name="40% - Accent2 3 6 2 2 2" xfId="25298" xr:uid="{4D8D2123-F0F0-4FE8-BC3D-27F9C3373D8C}"/>
    <cellStyle name="40% - Accent2 3 6 2 2 3" xfId="16857" xr:uid="{FF8CEA73-7057-400C-8A62-1FB80A353502}"/>
    <cellStyle name="40% - Accent2 3 6 2 3" xfId="21080" xr:uid="{B8A0D379-F9FC-43D9-8DC4-2055727D310C}"/>
    <cellStyle name="40% - Accent2 3 6 2 4" xfId="12638" xr:uid="{1F708EAC-1683-4C97-A635-0FCDC2AC36D0}"/>
    <cellStyle name="40% - Accent2 3 6 3" xfId="6218" xr:uid="{00000000-0005-0000-0000-0000D6040000}"/>
    <cellStyle name="40% - Accent2 3 6 3 2" xfId="23153" xr:uid="{9EB8BE57-E684-4A3C-94D7-DF0C09AB6C67}"/>
    <cellStyle name="40% - Accent2 3 6 3 3" xfId="14712" xr:uid="{ECD1B5A7-42A9-4BD4-B377-CA7B2E01EDFD}"/>
    <cellStyle name="40% - Accent2 3 6 4" xfId="18935" xr:uid="{8787D57A-1AE5-49B9-A6C4-95A3664423DE}"/>
    <cellStyle name="40% - Accent2 3 6 5" xfId="10461" xr:uid="{60FB8AFC-650A-4EFF-9410-6166EC217DD9}"/>
    <cellStyle name="40% - Accent2 3 7" xfId="2325" xr:uid="{00000000-0005-0000-0000-0000D7040000}"/>
    <cellStyle name="40% - Accent2 3 7 2" xfId="6631" xr:uid="{00000000-0005-0000-0000-0000D8040000}"/>
    <cellStyle name="40% - Accent2 3 7 2 2" xfId="23566" xr:uid="{09B44EE3-6C7A-4573-8A24-FC2ABB160CA2}"/>
    <cellStyle name="40% - Accent2 3 7 2 3" xfId="15125" xr:uid="{9FCEB89A-C120-4174-8556-A688F710BBB7}"/>
    <cellStyle name="40% - Accent2 3 7 3" xfId="19348" xr:uid="{A4B9D5A7-0802-4EEB-8C14-504DAE1B43D3}"/>
    <cellStyle name="40% - Accent2 3 7 4" xfId="10874" xr:uid="{7749C5BE-6C70-4202-962B-5E0B418ED9F1}"/>
    <cellStyle name="40% - Accent2 3 8" xfId="4565" xr:uid="{00000000-0005-0000-0000-0000D9040000}"/>
    <cellStyle name="40% - Accent2 3 8 2" xfId="21500" xr:uid="{C9EFBB4C-A6CC-49FE-A997-35CD3E165AD3}"/>
    <cellStyle name="40% - Accent2 3 8 3" xfId="13059" xr:uid="{6AD7C28F-7639-4D18-96E6-3AFF61C6EA8C}"/>
    <cellStyle name="40% - Accent2 3 9" xfId="17282" xr:uid="{EE14BB49-071C-4268-875F-19418B0DE759}"/>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24061" xr:uid="{8F4B3031-AE07-4830-BEBF-99C189BE41A4}"/>
    <cellStyle name="40% - Accent2 4 2 2 2 3" xfId="15620" xr:uid="{1CFFF556-FB2C-4E39-97DB-32FA4F9F29F9}"/>
    <cellStyle name="40% - Accent2 4 2 2 3" xfId="19843" xr:uid="{DE1AED5F-75E5-4377-BAB2-ABA051371132}"/>
    <cellStyle name="40% - Accent2 4 2 2 4" xfId="11401" xr:uid="{DBA094DF-C3E5-4613-AD84-09443DC5F53F}"/>
    <cellStyle name="40% - Accent2 4 2 3" xfId="4981" xr:uid="{00000000-0005-0000-0000-0000DE040000}"/>
    <cellStyle name="40% - Accent2 4 2 3 2" xfId="21916" xr:uid="{E20A0A7F-4EFA-4060-BCEE-D1FB61724BB8}"/>
    <cellStyle name="40% - Accent2 4 2 3 3" xfId="13475" xr:uid="{34BEA596-7A76-4EB5-A28B-6C337CCCB963}"/>
    <cellStyle name="40% - Accent2 4 2 4" xfId="17698" xr:uid="{1E76C0EE-9F9D-4EC1-BD9E-11A3204703EC}"/>
    <cellStyle name="40% - Accent2 4 2 5" xfId="9223" xr:uid="{468B3BB4-AD99-4E95-A7B4-BA4811E9ED90}"/>
    <cellStyle name="40% - Accent2 4 3" xfId="1086" xr:uid="{00000000-0005-0000-0000-0000DF040000}"/>
    <cellStyle name="40% - Accent2 4 3 2" xfId="3317" xr:uid="{00000000-0005-0000-0000-0000E0040000}"/>
    <cellStyle name="40% - Accent2 4 3 2 2" xfId="7539" xr:uid="{00000000-0005-0000-0000-0000E1040000}"/>
    <cellStyle name="40% - Accent2 4 3 2 2 2" xfId="24474" xr:uid="{553E8A57-7A73-482B-80A6-BAC79757DE4F}"/>
    <cellStyle name="40% - Accent2 4 3 2 2 3" xfId="16033" xr:uid="{AE14D48E-A123-44DA-987E-ADA8EE08C5CB}"/>
    <cellStyle name="40% - Accent2 4 3 2 3" xfId="20256" xr:uid="{D8A95435-765F-4279-9844-74CD0F51443E}"/>
    <cellStyle name="40% - Accent2 4 3 2 4" xfId="11814" xr:uid="{BEFE0553-DB28-42D3-9CDF-900D2E703C7C}"/>
    <cellStyle name="40% - Accent2 4 3 3" xfId="5394" xr:uid="{00000000-0005-0000-0000-0000E2040000}"/>
    <cellStyle name="40% - Accent2 4 3 3 2" xfId="22329" xr:uid="{BEFF9250-A2ED-4F8B-810E-2A4FCAB20376}"/>
    <cellStyle name="40% - Accent2 4 3 3 3" xfId="13888" xr:uid="{4BF3232F-A418-4A32-8F1A-3C3CE088EB12}"/>
    <cellStyle name="40% - Accent2 4 3 4" xfId="18111" xr:uid="{6A682CB8-E73D-437C-AE1C-0B0746239BAF}"/>
    <cellStyle name="40% - Accent2 4 3 5" xfId="9637" xr:uid="{052B6093-4605-4EA6-89AC-2E68DAEB3151}"/>
    <cellStyle name="40% - Accent2 4 4" xfId="1500" xr:uid="{00000000-0005-0000-0000-0000E3040000}"/>
    <cellStyle name="40% - Accent2 4 4 2" xfId="3730" xr:uid="{00000000-0005-0000-0000-0000E4040000}"/>
    <cellStyle name="40% - Accent2 4 4 2 2" xfId="7952" xr:uid="{00000000-0005-0000-0000-0000E5040000}"/>
    <cellStyle name="40% - Accent2 4 4 2 2 2" xfId="24887" xr:uid="{5C73FEE2-D140-4B7D-B105-290E11ED266E}"/>
    <cellStyle name="40% - Accent2 4 4 2 2 3" xfId="16446" xr:uid="{035E6CC9-9882-4B55-B083-B6083745C95B}"/>
    <cellStyle name="40% - Accent2 4 4 2 3" xfId="20669" xr:uid="{60B7E796-6D3C-41FD-AF03-CF1451CA88EE}"/>
    <cellStyle name="40% - Accent2 4 4 2 4" xfId="12227" xr:uid="{DE13F4A8-28E4-493A-B758-4188315910C6}"/>
    <cellStyle name="40% - Accent2 4 4 3" xfId="5807" xr:uid="{00000000-0005-0000-0000-0000E6040000}"/>
    <cellStyle name="40% - Accent2 4 4 3 2" xfId="22742" xr:uid="{BB3F7C38-5AA3-4CE7-A870-BA2BE6169865}"/>
    <cellStyle name="40% - Accent2 4 4 3 3" xfId="14301" xr:uid="{A6E97774-DD2B-48BD-BF99-41A5A9406425}"/>
    <cellStyle name="40% - Accent2 4 4 4" xfId="18524" xr:uid="{C0B30F69-B4D1-48D0-8F32-81AF87DBCD28}"/>
    <cellStyle name="40% - Accent2 4 4 5" xfId="10050" xr:uid="{C7DD31C6-5D08-4B9C-8DB8-AD222514C5A9}"/>
    <cellStyle name="40% - Accent2 4 5" xfId="1914" xr:uid="{00000000-0005-0000-0000-0000E7040000}"/>
    <cellStyle name="40% - Accent2 4 5 2" xfId="4143" xr:uid="{00000000-0005-0000-0000-0000E8040000}"/>
    <cellStyle name="40% - Accent2 4 5 2 2" xfId="8365" xr:uid="{00000000-0005-0000-0000-0000E9040000}"/>
    <cellStyle name="40% - Accent2 4 5 2 2 2" xfId="25300" xr:uid="{135F803E-25C4-46B1-84B8-DE89406A3935}"/>
    <cellStyle name="40% - Accent2 4 5 2 2 3" xfId="16859" xr:uid="{88E04A25-C401-4B25-8339-B436CA588CAC}"/>
    <cellStyle name="40% - Accent2 4 5 2 3" xfId="21082" xr:uid="{69142AF7-3126-4E3E-8970-8BEFB54B8077}"/>
    <cellStyle name="40% - Accent2 4 5 2 4" xfId="12640" xr:uid="{F53129C6-0F94-4D56-BB5E-24B839176AAA}"/>
    <cellStyle name="40% - Accent2 4 5 3" xfId="6220" xr:uid="{00000000-0005-0000-0000-0000EA040000}"/>
    <cellStyle name="40% - Accent2 4 5 3 2" xfId="23155" xr:uid="{D2F30CA9-BB56-4861-A035-D86EC08FA64B}"/>
    <cellStyle name="40% - Accent2 4 5 3 3" xfId="14714" xr:uid="{667B072A-71E2-4052-BB38-A53360D72E4C}"/>
    <cellStyle name="40% - Accent2 4 5 4" xfId="18937" xr:uid="{52078769-BD1B-4379-B4EE-A56C1F2E0885}"/>
    <cellStyle name="40% - Accent2 4 5 5" xfId="10463" xr:uid="{F9A66D25-ECA6-4BFE-89A2-A5CCAA213F43}"/>
    <cellStyle name="40% - Accent2 4 6" xfId="2327" xr:uid="{00000000-0005-0000-0000-0000EB040000}"/>
    <cellStyle name="40% - Accent2 4 6 2" xfId="6633" xr:uid="{00000000-0005-0000-0000-0000EC040000}"/>
    <cellStyle name="40% - Accent2 4 6 2 2" xfId="23568" xr:uid="{67BC2F63-E349-4488-B857-A9BEEA0866FA}"/>
    <cellStyle name="40% - Accent2 4 6 2 3" xfId="15127" xr:uid="{25B4C93F-B3D8-4E3C-B0D7-F43E70FF7C44}"/>
    <cellStyle name="40% - Accent2 4 6 3" xfId="19350" xr:uid="{6D288F78-614D-4957-ABFD-38B268454E95}"/>
    <cellStyle name="40% - Accent2 4 6 4" xfId="10876" xr:uid="{0585E90C-D8BF-4747-8FE3-5F076E8FA1AE}"/>
    <cellStyle name="40% - Accent2 4 7" xfId="4567" xr:uid="{00000000-0005-0000-0000-0000ED040000}"/>
    <cellStyle name="40% - Accent2 4 7 2" xfId="21502" xr:uid="{5720232E-FD16-47B9-BCFF-B6664C34390E}"/>
    <cellStyle name="40% - Accent2 4 7 3" xfId="13061" xr:uid="{EECCABDF-F361-45C4-97FE-0693ED83B84C}"/>
    <cellStyle name="40% - Accent2 4 8" xfId="17284" xr:uid="{4845A395-846F-42FA-A323-83A3807F54ED}"/>
    <cellStyle name="40% - Accent2 4 9" xfId="8799" xr:uid="{D081804B-7F9C-4733-9593-304080C20449}"/>
    <cellStyle name="40% - Accent2 5" xfId="626" xr:uid="{00000000-0005-0000-0000-0000EE040000}"/>
    <cellStyle name="40% - Accent2 5 2" xfId="2897" xr:uid="{00000000-0005-0000-0000-0000EF040000}"/>
    <cellStyle name="40% - Accent2 5 2 2" xfId="7119" xr:uid="{00000000-0005-0000-0000-0000F0040000}"/>
    <cellStyle name="40% - Accent2 5 2 2 2" xfId="24054" xr:uid="{C449C867-5213-4E9F-A8DA-BE1A271FED49}"/>
    <cellStyle name="40% - Accent2 5 2 2 3" xfId="15613" xr:uid="{07791402-0944-45F6-85D0-948769BCD8ED}"/>
    <cellStyle name="40% - Accent2 5 2 3" xfId="19836" xr:uid="{444E4770-598F-4948-86EE-19EEF516A4A1}"/>
    <cellStyle name="40% - Accent2 5 2 4" xfId="11394" xr:uid="{D338E996-1DC4-4009-B30A-68A588022CA8}"/>
    <cellStyle name="40% - Accent2 5 3" xfId="4974" xr:uid="{00000000-0005-0000-0000-0000F1040000}"/>
    <cellStyle name="40% - Accent2 5 3 2" xfId="21909" xr:uid="{228F7A91-5C6D-4052-AFF2-0AE41D9CB97C}"/>
    <cellStyle name="40% - Accent2 5 3 3" xfId="13468" xr:uid="{30703A3F-2A76-4321-B59D-D74962162692}"/>
    <cellStyle name="40% - Accent2 5 4" xfId="17691" xr:uid="{95461A41-37E2-470F-A67B-6A68F9AF29B7}"/>
    <cellStyle name="40% - Accent2 5 5" xfId="9216" xr:uid="{5666FCD0-6F76-4AF6-99A1-44C833FE024B}"/>
    <cellStyle name="40% - Accent2 6" xfId="1079" xr:uid="{00000000-0005-0000-0000-0000F2040000}"/>
    <cellStyle name="40% - Accent2 6 2" xfId="3310" xr:uid="{00000000-0005-0000-0000-0000F3040000}"/>
    <cellStyle name="40% - Accent2 6 2 2" xfId="7532" xr:uid="{00000000-0005-0000-0000-0000F4040000}"/>
    <cellStyle name="40% - Accent2 6 2 2 2" xfId="24467" xr:uid="{1F0676BB-F08A-44F4-9B0B-A76BC7279ACC}"/>
    <cellStyle name="40% - Accent2 6 2 2 3" xfId="16026" xr:uid="{69C9BDCF-CA1F-4F3A-9001-4606314758A8}"/>
    <cellStyle name="40% - Accent2 6 2 3" xfId="20249" xr:uid="{FF52140C-7804-46CE-93FB-A5C4357FD12C}"/>
    <cellStyle name="40% - Accent2 6 2 4" xfId="11807" xr:uid="{76099B21-64CB-4200-A12A-A74EF3E9FD08}"/>
    <cellStyle name="40% - Accent2 6 3" xfId="5387" xr:uid="{00000000-0005-0000-0000-0000F5040000}"/>
    <cellStyle name="40% - Accent2 6 3 2" xfId="22322" xr:uid="{CF26A47C-27DB-4630-99B1-86D0538365EC}"/>
    <cellStyle name="40% - Accent2 6 3 3" xfId="13881" xr:uid="{E579DCEA-0AD3-46E8-A031-942A4DB6178F}"/>
    <cellStyle name="40% - Accent2 6 4" xfId="18104" xr:uid="{3A90B591-31FA-42D0-9988-D0767F62DD87}"/>
    <cellStyle name="40% - Accent2 6 5" xfId="9630" xr:uid="{411B364C-44D7-49D2-B1BB-0E64EBF148D9}"/>
    <cellStyle name="40% - Accent2 7" xfId="1493" xr:uid="{00000000-0005-0000-0000-0000F6040000}"/>
    <cellStyle name="40% - Accent2 7 2" xfId="3723" xr:uid="{00000000-0005-0000-0000-0000F7040000}"/>
    <cellStyle name="40% - Accent2 7 2 2" xfId="7945" xr:uid="{00000000-0005-0000-0000-0000F8040000}"/>
    <cellStyle name="40% - Accent2 7 2 2 2" xfId="24880" xr:uid="{BA940257-EC2B-431B-98C7-FEC4E3CE8A07}"/>
    <cellStyle name="40% - Accent2 7 2 2 3" xfId="16439" xr:uid="{ECA3E6F1-C4E5-4033-8550-E4AEDE528D8C}"/>
    <cellStyle name="40% - Accent2 7 2 3" xfId="20662" xr:uid="{4903B292-45A6-4A86-BAD4-3E83F590C866}"/>
    <cellStyle name="40% - Accent2 7 2 4" xfId="12220" xr:uid="{8F953159-9CF8-4454-A83E-765AA66F5969}"/>
    <cellStyle name="40% - Accent2 7 3" xfId="5800" xr:uid="{00000000-0005-0000-0000-0000F9040000}"/>
    <cellStyle name="40% - Accent2 7 3 2" xfId="22735" xr:uid="{5C6F97E6-9416-4E7F-83A3-54956037C1B9}"/>
    <cellStyle name="40% - Accent2 7 3 3" xfId="14294" xr:uid="{B144878C-4CAE-46D3-9CD4-6A819A618AD9}"/>
    <cellStyle name="40% - Accent2 7 4" xfId="18517" xr:uid="{FC27264B-6D1A-4C3A-A781-847C654EFD1B}"/>
    <cellStyle name="40% - Accent2 7 5" xfId="10043" xr:uid="{E4F88796-39E2-4794-A6A2-715B94473665}"/>
    <cellStyle name="40% - Accent2 8" xfId="1907" xr:uid="{00000000-0005-0000-0000-0000FA040000}"/>
    <cellStyle name="40% - Accent2 8 2" xfId="4136" xr:uid="{00000000-0005-0000-0000-0000FB040000}"/>
    <cellStyle name="40% - Accent2 8 2 2" xfId="8358" xr:uid="{00000000-0005-0000-0000-0000FC040000}"/>
    <cellStyle name="40% - Accent2 8 2 2 2" xfId="25293" xr:uid="{1DAB0CB1-1886-4434-995B-457A5964E838}"/>
    <cellStyle name="40% - Accent2 8 2 2 3" xfId="16852" xr:uid="{156FB7DF-D72D-4160-92EC-5EB7785A3DDE}"/>
    <cellStyle name="40% - Accent2 8 2 3" xfId="21075" xr:uid="{6A9FE58A-3DB6-40EA-ADAE-D87E2F353E9E}"/>
    <cellStyle name="40% - Accent2 8 2 4" xfId="12633" xr:uid="{FD16FA9B-93B6-4E8B-AD76-CBAE1EEC817E}"/>
    <cellStyle name="40% - Accent2 8 3" xfId="6213" xr:uid="{00000000-0005-0000-0000-0000FD040000}"/>
    <cellStyle name="40% - Accent2 8 3 2" xfId="23148" xr:uid="{AF20D336-56A8-42EB-B85E-95D50AACBD8F}"/>
    <cellStyle name="40% - Accent2 8 3 3" xfId="14707" xr:uid="{E6AD67BA-0674-4172-B25E-DB5E00DCC809}"/>
    <cellStyle name="40% - Accent2 8 4" xfId="18930" xr:uid="{143B5044-1991-47D8-89CC-564E4F2947FC}"/>
    <cellStyle name="40% - Accent2 8 5" xfId="10456" xr:uid="{FA6C9DE9-0E65-41AD-93A3-01EB4FE6493D}"/>
    <cellStyle name="40% - Accent2 9" xfId="2320" xr:uid="{00000000-0005-0000-0000-0000FE040000}"/>
    <cellStyle name="40% - Accent2 9 2" xfId="6626" xr:uid="{00000000-0005-0000-0000-0000FF040000}"/>
    <cellStyle name="40% - Accent2 9 2 2" xfId="23561" xr:uid="{65D1072D-AB0E-40E1-AD07-7C8A576F906B}"/>
    <cellStyle name="40% - Accent2 9 2 3" xfId="15120" xr:uid="{43719AF8-4717-4FDC-80E4-A7CE74FD3A13}"/>
    <cellStyle name="40% - Accent2 9 3" xfId="19343" xr:uid="{E206B2D0-9AC6-4D0F-8F0F-38687A2BDC9F}"/>
    <cellStyle name="40% - Accent2 9 4" xfId="10869" xr:uid="{17215C99-CD0F-4B2D-9AB5-25E069C3259B}"/>
    <cellStyle name="40% - Accent3" xfId="65" builtinId="39" customBuiltin="1"/>
    <cellStyle name="40% - Accent3 10" xfId="4568" xr:uid="{00000000-0005-0000-0000-000001050000}"/>
    <cellStyle name="40% - Accent3 10 2" xfId="21503" xr:uid="{8BFC5834-9DFE-4309-BBA2-55940488D969}"/>
    <cellStyle name="40% - Accent3 10 3" xfId="13062" xr:uid="{07E95227-69A5-4A17-8680-295F677B6367}"/>
    <cellStyle name="40% - Accent3 11" xfId="17285" xr:uid="{59CA83CA-1657-4E41-8602-4A978B5B2AE4}"/>
    <cellStyle name="40% - Accent3 12" xfId="8800" xr:uid="{D7184EAD-C53C-4E42-B697-F1A0B617186E}"/>
    <cellStyle name="40% - Accent3 2" xfId="66" xr:uid="{00000000-0005-0000-0000-000002050000}"/>
    <cellStyle name="40% - Accent3 2 10" xfId="17286" xr:uid="{A9536ECD-8C40-48A3-86C0-9F152E628989}"/>
    <cellStyle name="40% - Accent3 2 11" xfId="8801" xr:uid="{3A24C0AC-B894-4719-BEB1-EA75ECA6EAB2}"/>
    <cellStyle name="40% - Accent3 2 2" xfId="67" xr:uid="{00000000-0005-0000-0000-000003050000}"/>
    <cellStyle name="40% - Accent3 2 2 10" xfId="8802" xr:uid="{8BBD8E70-C77B-4CA6-8D24-11DAFF3C3DA1}"/>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065" xr:uid="{FD9D467B-0566-4DC5-8E8C-811A06A1C846}"/>
    <cellStyle name="40% - Accent3 2 2 2 2 2 2 3" xfId="15624" xr:uid="{9B6CC74A-A844-426A-AB31-76C72DF5E73B}"/>
    <cellStyle name="40% - Accent3 2 2 2 2 2 3" xfId="19847" xr:uid="{AF530040-AC0A-42E7-A57F-359B6934709F}"/>
    <cellStyle name="40% - Accent3 2 2 2 2 2 4" xfId="11405" xr:uid="{C11B4CD7-EE23-43F2-86BB-C9096C8CC0E8}"/>
    <cellStyle name="40% - Accent3 2 2 2 2 3" xfId="4985" xr:uid="{00000000-0005-0000-0000-000008050000}"/>
    <cellStyle name="40% - Accent3 2 2 2 2 3 2" xfId="21920" xr:uid="{78A37C8A-D95D-48F7-976D-A0C9A72159B8}"/>
    <cellStyle name="40% - Accent3 2 2 2 2 3 3" xfId="13479" xr:uid="{E02DDB51-079A-4392-9E73-51CF0139F9D3}"/>
    <cellStyle name="40% - Accent3 2 2 2 2 4" xfId="17702" xr:uid="{335BFE65-49D8-4623-9FB5-9DAFB6F6FD75}"/>
    <cellStyle name="40% - Accent3 2 2 2 2 5" xfId="9227" xr:uid="{5D91AE98-60F3-4B8C-BE53-EC81149C1F5A}"/>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4478" xr:uid="{2EB43295-A4C6-485A-857F-1C47D7017912}"/>
    <cellStyle name="40% - Accent3 2 2 2 3 2 2 3" xfId="16037" xr:uid="{007AE55B-E20C-4FA6-8DA6-C03180B5DC0A}"/>
    <cellStyle name="40% - Accent3 2 2 2 3 2 3" xfId="20260" xr:uid="{C4E44844-1518-4044-9217-27CA520CC1C8}"/>
    <cellStyle name="40% - Accent3 2 2 2 3 2 4" xfId="11818" xr:uid="{4F21612E-C308-47A0-9574-7728BF0115B2}"/>
    <cellStyle name="40% - Accent3 2 2 2 3 3" xfId="5398" xr:uid="{00000000-0005-0000-0000-00000C050000}"/>
    <cellStyle name="40% - Accent3 2 2 2 3 3 2" xfId="22333" xr:uid="{E6C4D3DB-E99A-4EBD-A11A-3432F0B118AA}"/>
    <cellStyle name="40% - Accent3 2 2 2 3 3 3" xfId="13892" xr:uid="{E24E7254-BB5E-4C32-BD76-AE3241B84037}"/>
    <cellStyle name="40% - Accent3 2 2 2 3 4" xfId="18115" xr:uid="{C4E4CBCC-AE0A-47EB-8D94-FA176E7AD43B}"/>
    <cellStyle name="40% - Accent3 2 2 2 3 5" xfId="9641" xr:uid="{1A166BBC-A423-4E0E-91F4-AE3193FF212E}"/>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4891" xr:uid="{1D1F4DD2-411B-43FE-84F2-401C50B005C5}"/>
    <cellStyle name="40% - Accent3 2 2 2 4 2 2 3" xfId="16450" xr:uid="{A4B015EA-91B8-42A4-9BA6-469C93708449}"/>
    <cellStyle name="40% - Accent3 2 2 2 4 2 3" xfId="20673" xr:uid="{216A9BF4-0850-4630-B22C-C1BAB7CF7B1D}"/>
    <cellStyle name="40% - Accent3 2 2 2 4 2 4" xfId="12231" xr:uid="{37CFDCFC-70C3-421C-AA08-3EF654D3BED1}"/>
    <cellStyle name="40% - Accent3 2 2 2 4 3" xfId="5811" xr:uid="{00000000-0005-0000-0000-000010050000}"/>
    <cellStyle name="40% - Accent3 2 2 2 4 3 2" xfId="22746" xr:uid="{09A65A3C-CAF6-4597-85D0-459DC627A62F}"/>
    <cellStyle name="40% - Accent3 2 2 2 4 3 3" xfId="14305" xr:uid="{49308A2D-E5F3-4C97-B50E-39491FA4F1AC}"/>
    <cellStyle name="40% - Accent3 2 2 2 4 4" xfId="18528" xr:uid="{5989A4C3-09A4-42AC-8C2B-9332ACFA00F9}"/>
    <cellStyle name="40% - Accent3 2 2 2 4 5" xfId="10054" xr:uid="{1871CD37-6018-4E2A-BEF4-0403CE2B5F7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5304" xr:uid="{33EB9939-320D-415B-BFBB-155BF2F248D7}"/>
    <cellStyle name="40% - Accent3 2 2 2 5 2 2 3" xfId="16863" xr:uid="{B56273E8-C105-46C0-A8B8-01A2E84E6639}"/>
    <cellStyle name="40% - Accent3 2 2 2 5 2 3" xfId="21086" xr:uid="{20AADDE3-E3C2-4026-B939-ACDCBB289655}"/>
    <cellStyle name="40% - Accent3 2 2 2 5 2 4" xfId="12644" xr:uid="{0304A11D-644C-4241-B3F4-107F36FC5B82}"/>
    <cellStyle name="40% - Accent3 2 2 2 5 3" xfId="6224" xr:uid="{00000000-0005-0000-0000-000014050000}"/>
    <cellStyle name="40% - Accent3 2 2 2 5 3 2" xfId="23159" xr:uid="{17A51DC0-AEA7-448F-AB8C-4E65942C3939}"/>
    <cellStyle name="40% - Accent3 2 2 2 5 3 3" xfId="14718" xr:uid="{9B5DF976-B07A-4486-A229-8981BF945771}"/>
    <cellStyle name="40% - Accent3 2 2 2 5 4" xfId="18941" xr:uid="{4688D8D3-ED48-4D15-8511-FEAE2E31DA02}"/>
    <cellStyle name="40% - Accent3 2 2 2 5 5" xfId="10467" xr:uid="{7D583B48-75DF-42DA-B40F-7497C837057B}"/>
    <cellStyle name="40% - Accent3 2 2 2 6" xfId="2331" xr:uid="{00000000-0005-0000-0000-000015050000}"/>
    <cellStyle name="40% - Accent3 2 2 2 6 2" xfId="6637" xr:uid="{00000000-0005-0000-0000-000016050000}"/>
    <cellStyle name="40% - Accent3 2 2 2 6 2 2" xfId="23572" xr:uid="{FDEFAB1D-36C8-43C0-AB1B-35486FB910E8}"/>
    <cellStyle name="40% - Accent3 2 2 2 6 2 3" xfId="15131" xr:uid="{3DA9379F-2560-457E-A45D-FFA7AE72979A}"/>
    <cellStyle name="40% - Accent3 2 2 2 6 3" xfId="19354" xr:uid="{73D98A1A-1DD9-4EA2-BA12-6B136402EE02}"/>
    <cellStyle name="40% - Accent3 2 2 2 6 4" xfId="10880" xr:uid="{C7DBB863-2343-492E-98F6-05F75E5BB171}"/>
    <cellStyle name="40% - Accent3 2 2 2 7" xfId="4571" xr:uid="{00000000-0005-0000-0000-000017050000}"/>
    <cellStyle name="40% - Accent3 2 2 2 7 2" xfId="21506" xr:uid="{5C3A7044-7AF4-4D1E-98EB-22FD605465FA}"/>
    <cellStyle name="40% - Accent3 2 2 2 7 3" xfId="13065" xr:uid="{EEC77032-A2B7-48C1-BC72-BF398B1B490F}"/>
    <cellStyle name="40% - Accent3 2 2 2 8" xfId="17288" xr:uid="{2C1F19D4-CBC6-4BF6-963C-9D1A5518A230}"/>
    <cellStyle name="40% - Accent3 2 2 2 9" xfId="8803" xr:uid="{F6AE4303-F7B7-421E-A424-168FE0BE272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064" xr:uid="{5B863BD3-F626-4FA7-B908-0C8ADCABE2D9}"/>
    <cellStyle name="40% - Accent3 2 2 3 2 2 3" xfId="15623" xr:uid="{4307F089-A171-4CFD-9BBA-CE9415DE6BFC}"/>
    <cellStyle name="40% - Accent3 2 2 3 2 3" xfId="19846" xr:uid="{95868B62-58D1-4A9F-822A-BA33D9D77CF5}"/>
    <cellStyle name="40% - Accent3 2 2 3 2 4" xfId="11404" xr:uid="{B5773387-54E7-4714-B896-16219C996D79}"/>
    <cellStyle name="40% - Accent3 2 2 3 3" xfId="4984" xr:uid="{00000000-0005-0000-0000-00001B050000}"/>
    <cellStyle name="40% - Accent3 2 2 3 3 2" xfId="21919" xr:uid="{C74E110B-75C0-40BA-9FBE-E077CA83AAD8}"/>
    <cellStyle name="40% - Accent3 2 2 3 3 3" xfId="13478" xr:uid="{BCA8CC4B-120D-4FDE-B2A3-264E226F5691}"/>
    <cellStyle name="40% - Accent3 2 2 3 4" xfId="17701" xr:uid="{03D80CA1-36DA-43D0-8AFF-F523D2AF1694}"/>
    <cellStyle name="40% - Accent3 2 2 3 5" xfId="9226" xr:uid="{80088E1E-678A-43E0-B5B0-268A50E558C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4477" xr:uid="{04022A59-B611-46EA-8368-D1791DE41CB1}"/>
    <cellStyle name="40% - Accent3 2 2 4 2 2 3" xfId="16036" xr:uid="{87FAD63A-F6A1-46DA-B06B-8DC0D4ED7BF5}"/>
    <cellStyle name="40% - Accent3 2 2 4 2 3" xfId="20259" xr:uid="{4F2F2876-48DA-4E65-91BD-8B47C977A751}"/>
    <cellStyle name="40% - Accent3 2 2 4 2 4" xfId="11817" xr:uid="{8F8812B6-5EB8-4ED5-BDB7-759D0DCCC4DC}"/>
    <cellStyle name="40% - Accent3 2 2 4 3" xfId="5397" xr:uid="{00000000-0005-0000-0000-00001F050000}"/>
    <cellStyle name="40% - Accent3 2 2 4 3 2" xfId="22332" xr:uid="{8FE3E93B-9F73-4360-8DCB-4B1BFB467840}"/>
    <cellStyle name="40% - Accent3 2 2 4 3 3" xfId="13891" xr:uid="{8956A6D7-3FF0-41CB-BB5A-2901CE73C960}"/>
    <cellStyle name="40% - Accent3 2 2 4 4" xfId="18114" xr:uid="{B0D0D829-12DD-4339-9453-ED2ADC0C449E}"/>
    <cellStyle name="40% - Accent3 2 2 4 5" xfId="9640" xr:uid="{EB2D811A-2695-4F42-9EEA-899DAAFED139}"/>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4890" xr:uid="{C017ED45-1451-42BB-A79C-186438D41352}"/>
    <cellStyle name="40% - Accent3 2 2 5 2 2 3" xfId="16449" xr:uid="{7A13AA3B-A75B-4C50-9C5E-9CE05311BCDB}"/>
    <cellStyle name="40% - Accent3 2 2 5 2 3" xfId="20672" xr:uid="{D5487CE4-24A4-4F98-B4B1-9802006AD3FE}"/>
    <cellStyle name="40% - Accent3 2 2 5 2 4" xfId="12230" xr:uid="{F64BA533-AB8B-4D1D-A80B-0B095E72F35D}"/>
    <cellStyle name="40% - Accent3 2 2 5 3" xfId="5810" xr:uid="{00000000-0005-0000-0000-000023050000}"/>
    <cellStyle name="40% - Accent3 2 2 5 3 2" xfId="22745" xr:uid="{391FD953-2AD6-40F1-870D-97D5F27A2482}"/>
    <cellStyle name="40% - Accent3 2 2 5 3 3" xfId="14304" xr:uid="{3113A4C1-0573-4795-BC98-D1A3009F23B9}"/>
    <cellStyle name="40% - Accent3 2 2 5 4" xfId="18527" xr:uid="{C6EE3FAB-B42C-4662-9AD4-8AE20C12AF9C}"/>
    <cellStyle name="40% - Accent3 2 2 5 5" xfId="10053" xr:uid="{5197FFA8-0D5F-4A8E-B99F-707FCC92BBB5}"/>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5303" xr:uid="{C9D2DE01-B0B8-41D4-95D0-925086E518D1}"/>
    <cellStyle name="40% - Accent3 2 2 6 2 2 3" xfId="16862" xr:uid="{2FE4154F-4038-4A10-889F-7D6CC4148579}"/>
    <cellStyle name="40% - Accent3 2 2 6 2 3" xfId="21085" xr:uid="{D5209432-302D-4328-B350-69DA223AA377}"/>
    <cellStyle name="40% - Accent3 2 2 6 2 4" xfId="12643" xr:uid="{B86C0CA1-3197-4CE5-9F67-F52F30AECD24}"/>
    <cellStyle name="40% - Accent3 2 2 6 3" xfId="6223" xr:uid="{00000000-0005-0000-0000-000027050000}"/>
    <cellStyle name="40% - Accent3 2 2 6 3 2" xfId="23158" xr:uid="{7A2AD2C0-DAFC-4BF3-AB9B-5C5334B06BBA}"/>
    <cellStyle name="40% - Accent3 2 2 6 3 3" xfId="14717" xr:uid="{7C4F7A1D-0BE4-4274-B24C-FB2B7742AC0D}"/>
    <cellStyle name="40% - Accent3 2 2 6 4" xfId="18940" xr:uid="{38851E3C-ADB6-4626-B6D3-E2052EAA9CB1}"/>
    <cellStyle name="40% - Accent3 2 2 6 5" xfId="10466" xr:uid="{C207B5D6-5550-4442-82DC-C27D8DB6D27D}"/>
    <cellStyle name="40% - Accent3 2 2 7" xfId="2330" xr:uid="{00000000-0005-0000-0000-000028050000}"/>
    <cellStyle name="40% - Accent3 2 2 7 2" xfId="6636" xr:uid="{00000000-0005-0000-0000-000029050000}"/>
    <cellStyle name="40% - Accent3 2 2 7 2 2" xfId="23571" xr:uid="{DEA97421-4256-400A-92ED-5283FEF4E79A}"/>
    <cellStyle name="40% - Accent3 2 2 7 2 3" xfId="15130" xr:uid="{E0B69C02-20C0-4BBE-81AD-364855B92518}"/>
    <cellStyle name="40% - Accent3 2 2 7 3" xfId="19353" xr:uid="{1B769F33-8448-4B4A-B7D9-828102A02332}"/>
    <cellStyle name="40% - Accent3 2 2 7 4" xfId="10879" xr:uid="{A30BEEF9-9379-4D82-B42B-D1F358A62234}"/>
    <cellStyle name="40% - Accent3 2 2 8" xfId="4570" xr:uid="{00000000-0005-0000-0000-00002A050000}"/>
    <cellStyle name="40% - Accent3 2 2 8 2" xfId="21505" xr:uid="{7B8EAB9E-86B7-4D17-85A2-53E93C0908FD}"/>
    <cellStyle name="40% - Accent3 2 2 8 3" xfId="13064" xr:uid="{12DDCAEF-4B38-4672-B631-28FB08F24BC3}"/>
    <cellStyle name="40% - Accent3 2 2 9" xfId="17287" xr:uid="{B02F4BFC-D07D-4FE6-9C7E-0969A0F65C64}"/>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066" xr:uid="{F5F96AD1-7D06-49C6-8567-4A1E920EE33D}"/>
    <cellStyle name="40% - Accent3 2 3 2 2 2 3" xfId="15625" xr:uid="{EF9EB456-5463-49FF-A848-94D80F1AF50C}"/>
    <cellStyle name="40% - Accent3 2 3 2 2 3" xfId="19848" xr:uid="{DF892927-5681-45EB-B63A-7C0B933FE84C}"/>
    <cellStyle name="40% - Accent3 2 3 2 2 4" xfId="11406" xr:uid="{02919624-D3AD-4287-A8F1-E20B16EA0324}"/>
    <cellStyle name="40% - Accent3 2 3 2 3" xfId="4986" xr:uid="{00000000-0005-0000-0000-00002F050000}"/>
    <cellStyle name="40% - Accent3 2 3 2 3 2" xfId="21921" xr:uid="{751C12D0-0E0B-4A8F-B0FF-F66C4D670838}"/>
    <cellStyle name="40% - Accent3 2 3 2 3 3" xfId="13480" xr:uid="{4AEBFB45-5141-4980-A11B-27E1F6396AD1}"/>
    <cellStyle name="40% - Accent3 2 3 2 4" xfId="17703" xr:uid="{7284854E-3230-40DC-B6AF-6A2E9F640BB1}"/>
    <cellStyle name="40% - Accent3 2 3 2 5" xfId="9228" xr:uid="{34F17107-96F9-40C6-9A42-EFD2893C8EC3}"/>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4479" xr:uid="{D2DE8E9C-9738-41ED-9F6B-63E0BB9E81AF}"/>
    <cellStyle name="40% - Accent3 2 3 3 2 2 3" xfId="16038" xr:uid="{F51AEED1-884E-4A2C-933B-AB29CDC7DD91}"/>
    <cellStyle name="40% - Accent3 2 3 3 2 3" xfId="20261" xr:uid="{8BC2D1E7-E3B2-4245-B327-75C263015902}"/>
    <cellStyle name="40% - Accent3 2 3 3 2 4" xfId="11819" xr:uid="{83D3DCE6-70C1-4E02-AAD0-D8788159CDFE}"/>
    <cellStyle name="40% - Accent3 2 3 3 3" xfId="5399" xr:uid="{00000000-0005-0000-0000-000033050000}"/>
    <cellStyle name="40% - Accent3 2 3 3 3 2" xfId="22334" xr:uid="{88AF6DCA-33C6-4D09-8E0D-7E8FD8B5C681}"/>
    <cellStyle name="40% - Accent3 2 3 3 3 3" xfId="13893" xr:uid="{0752E768-A697-4AE6-9F23-32552D2671E9}"/>
    <cellStyle name="40% - Accent3 2 3 3 4" xfId="18116" xr:uid="{B58F8FD6-FAF8-4ECA-8946-6BD04D064BD8}"/>
    <cellStyle name="40% - Accent3 2 3 3 5" xfId="9642" xr:uid="{5C0C27DC-BD62-450D-90C6-B731F9AE4659}"/>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4892" xr:uid="{9CCC7D7B-0030-49F0-8579-4A34839466A8}"/>
    <cellStyle name="40% - Accent3 2 3 4 2 2 3" xfId="16451" xr:uid="{077969AF-FDFB-493C-996C-92866D530788}"/>
    <cellStyle name="40% - Accent3 2 3 4 2 3" xfId="20674" xr:uid="{17BC7C2A-08B2-4A51-BF95-74E9C3A95BEF}"/>
    <cellStyle name="40% - Accent3 2 3 4 2 4" xfId="12232" xr:uid="{9F1D2075-88E2-4DB0-9BAC-F58735E77B80}"/>
    <cellStyle name="40% - Accent3 2 3 4 3" xfId="5812" xr:uid="{00000000-0005-0000-0000-000037050000}"/>
    <cellStyle name="40% - Accent3 2 3 4 3 2" xfId="22747" xr:uid="{362388AD-107D-477A-A9C1-AFDE6FEF499D}"/>
    <cellStyle name="40% - Accent3 2 3 4 3 3" xfId="14306" xr:uid="{AB1A3EE4-E360-4E6D-AEC6-881566C3BD35}"/>
    <cellStyle name="40% - Accent3 2 3 4 4" xfId="18529" xr:uid="{AF04C1DC-99F8-421A-9605-7F5E16217385}"/>
    <cellStyle name="40% - Accent3 2 3 4 5" xfId="10055" xr:uid="{F3C1A8DA-F9CC-49E5-ADA1-C790402EE7E3}"/>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5305" xr:uid="{0F7911C0-4C1F-4135-A8A2-8A05C1C78F24}"/>
    <cellStyle name="40% - Accent3 2 3 5 2 2 3" xfId="16864" xr:uid="{13CEC966-4B01-40E3-A7E2-F8D2CE77D69E}"/>
    <cellStyle name="40% - Accent3 2 3 5 2 3" xfId="21087" xr:uid="{649D532C-812F-4D7A-83ED-6C73F920AE44}"/>
    <cellStyle name="40% - Accent3 2 3 5 2 4" xfId="12645" xr:uid="{48309F77-7820-42B1-899C-D1D1AAB057E6}"/>
    <cellStyle name="40% - Accent3 2 3 5 3" xfId="6225" xr:uid="{00000000-0005-0000-0000-00003B050000}"/>
    <cellStyle name="40% - Accent3 2 3 5 3 2" xfId="23160" xr:uid="{7602DA0F-4B6F-4E4B-91E8-0106410F0800}"/>
    <cellStyle name="40% - Accent3 2 3 5 3 3" xfId="14719" xr:uid="{558E5258-6EB1-4254-882F-663E8DE5DE4E}"/>
    <cellStyle name="40% - Accent3 2 3 5 4" xfId="18942" xr:uid="{C08302FC-B78C-4009-A90B-F495A6C701F1}"/>
    <cellStyle name="40% - Accent3 2 3 5 5" xfId="10468" xr:uid="{C6CC117C-F0C8-43D0-9558-DFCFBF66F88A}"/>
    <cellStyle name="40% - Accent3 2 3 6" xfId="2332" xr:uid="{00000000-0005-0000-0000-00003C050000}"/>
    <cellStyle name="40% - Accent3 2 3 6 2" xfId="6638" xr:uid="{00000000-0005-0000-0000-00003D050000}"/>
    <cellStyle name="40% - Accent3 2 3 6 2 2" xfId="23573" xr:uid="{35D29A60-EA45-49FA-8DDE-6262EE491036}"/>
    <cellStyle name="40% - Accent3 2 3 6 2 3" xfId="15132" xr:uid="{3FCBAA99-D476-4410-BDEB-1067BFC61CF4}"/>
    <cellStyle name="40% - Accent3 2 3 6 3" xfId="19355" xr:uid="{8279CBB5-8145-4C4E-B2FA-D08D8942FE6D}"/>
    <cellStyle name="40% - Accent3 2 3 6 4" xfId="10881" xr:uid="{9144A9CF-C9E7-4308-9910-23715E177479}"/>
    <cellStyle name="40% - Accent3 2 3 7" xfId="4572" xr:uid="{00000000-0005-0000-0000-00003E050000}"/>
    <cellStyle name="40% - Accent3 2 3 7 2" xfId="21507" xr:uid="{2B6A104B-6595-4F1D-B0DC-2621BCBCA4C2}"/>
    <cellStyle name="40% - Accent3 2 3 7 3" xfId="13066" xr:uid="{1E9F5716-D59F-4B64-A3DB-9339A9343935}"/>
    <cellStyle name="40% - Accent3 2 3 8" xfId="17289" xr:uid="{D5525C10-6660-4408-828C-790265EEE78E}"/>
    <cellStyle name="40% - Accent3 2 3 9" xfId="8804" xr:uid="{6FCB1DD3-FBF6-4DAB-8002-8C970008EB0B}"/>
    <cellStyle name="40% - Accent3 2 4" xfId="635" xr:uid="{00000000-0005-0000-0000-00003F050000}"/>
    <cellStyle name="40% - Accent3 2 4 2" xfId="2906" xr:uid="{00000000-0005-0000-0000-000040050000}"/>
    <cellStyle name="40% - Accent3 2 4 2 2" xfId="7128" xr:uid="{00000000-0005-0000-0000-000041050000}"/>
    <cellStyle name="40% - Accent3 2 4 2 2 2" xfId="24063" xr:uid="{1342BB4B-6C47-484B-A06A-DFAF6C4DDA51}"/>
    <cellStyle name="40% - Accent3 2 4 2 2 3" xfId="15622" xr:uid="{B38C57DF-C01A-4C26-B8E8-A179C12FEEAA}"/>
    <cellStyle name="40% - Accent3 2 4 2 3" xfId="19845" xr:uid="{CB6A78F1-B6E5-47CD-9090-511360883537}"/>
    <cellStyle name="40% - Accent3 2 4 2 4" xfId="11403" xr:uid="{FF3E1A74-B620-4A9E-BC62-7B09A758DF01}"/>
    <cellStyle name="40% - Accent3 2 4 3" xfId="4983" xr:uid="{00000000-0005-0000-0000-000042050000}"/>
    <cellStyle name="40% - Accent3 2 4 3 2" xfId="21918" xr:uid="{51925C56-19C6-4D6B-AF6E-29CBE37C740F}"/>
    <cellStyle name="40% - Accent3 2 4 3 3" xfId="13477" xr:uid="{E706C276-EF8B-48E5-B196-4D3CE442DE6F}"/>
    <cellStyle name="40% - Accent3 2 4 4" xfId="17700" xr:uid="{891A7703-F20C-418D-8423-8D7D38CECD70}"/>
    <cellStyle name="40% - Accent3 2 4 5" xfId="9225" xr:uid="{5014C634-566A-425C-BD50-BBC25AEDF4F8}"/>
    <cellStyle name="40% - Accent3 2 5" xfId="1088" xr:uid="{00000000-0005-0000-0000-000043050000}"/>
    <cellStyle name="40% - Accent3 2 5 2" xfId="3319" xr:uid="{00000000-0005-0000-0000-000044050000}"/>
    <cellStyle name="40% - Accent3 2 5 2 2" xfId="7541" xr:uid="{00000000-0005-0000-0000-000045050000}"/>
    <cellStyle name="40% - Accent3 2 5 2 2 2" xfId="24476" xr:uid="{191439DA-5422-402A-9667-C355ADF3FCE8}"/>
    <cellStyle name="40% - Accent3 2 5 2 2 3" xfId="16035" xr:uid="{D8EF7FD7-5AC5-44D2-8ED9-78DE255356C2}"/>
    <cellStyle name="40% - Accent3 2 5 2 3" xfId="20258" xr:uid="{35081575-E46B-4BF0-BD9F-C0986035A633}"/>
    <cellStyle name="40% - Accent3 2 5 2 4" xfId="11816" xr:uid="{BD08B75F-CEB2-4EEB-9D71-C8C21F4A6701}"/>
    <cellStyle name="40% - Accent3 2 5 3" xfId="5396" xr:uid="{00000000-0005-0000-0000-000046050000}"/>
    <cellStyle name="40% - Accent3 2 5 3 2" xfId="22331" xr:uid="{F8861B11-39E8-406F-9FE0-9708581D7CC9}"/>
    <cellStyle name="40% - Accent3 2 5 3 3" xfId="13890" xr:uid="{B21515E1-CC7B-428D-A94D-503C8F82EA2D}"/>
    <cellStyle name="40% - Accent3 2 5 4" xfId="18113" xr:uid="{64665D73-FB83-4DE3-9576-8740D3D9F903}"/>
    <cellStyle name="40% - Accent3 2 5 5" xfId="9639" xr:uid="{5CD065F2-27C0-4306-B54D-B3D16ACCFC7C}"/>
    <cellStyle name="40% - Accent3 2 6" xfId="1502" xr:uid="{00000000-0005-0000-0000-000047050000}"/>
    <cellStyle name="40% - Accent3 2 6 2" xfId="3732" xr:uid="{00000000-0005-0000-0000-000048050000}"/>
    <cellStyle name="40% - Accent3 2 6 2 2" xfId="7954" xr:uid="{00000000-0005-0000-0000-000049050000}"/>
    <cellStyle name="40% - Accent3 2 6 2 2 2" xfId="24889" xr:uid="{E9187F14-926C-4324-A243-4FC4080DF9DD}"/>
    <cellStyle name="40% - Accent3 2 6 2 2 3" xfId="16448" xr:uid="{20473505-1F83-4B33-9AC3-CEEC0B7A74EF}"/>
    <cellStyle name="40% - Accent3 2 6 2 3" xfId="20671" xr:uid="{389A704C-48ED-48E7-8A57-85A3D14A27C9}"/>
    <cellStyle name="40% - Accent3 2 6 2 4" xfId="12229" xr:uid="{5F396130-67F0-4F81-968D-252C557F7601}"/>
    <cellStyle name="40% - Accent3 2 6 3" xfId="5809" xr:uid="{00000000-0005-0000-0000-00004A050000}"/>
    <cellStyle name="40% - Accent3 2 6 3 2" xfId="22744" xr:uid="{3CBB9507-BCD9-4FCE-ACF4-C1A4677101DE}"/>
    <cellStyle name="40% - Accent3 2 6 3 3" xfId="14303" xr:uid="{640DDE9F-45A7-4A38-A5F5-5600FD642132}"/>
    <cellStyle name="40% - Accent3 2 6 4" xfId="18526" xr:uid="{AFE1AA84-C440-4E51-9ABF-13ACE94101F0}"/>
    <cellStyle name="40% - Accent3 2 6 5" xfId="10052" xr:uid="{82DA9A5A-F464-43F9-9EE9-2EFF3F97BB7A}"/>
    <cellStyle name="40% - Accent3 2 7" xfId="1916" xr:uid="{00000000-0005-0000-0000-00004B050000}"/>
    <cellStyle name="40% - Accent3 2 7 2" xfId="4145" xr:uid="{00000000-0005-0000-0000-00004C050000}"/>
    <cellStyle name="40% - Accent3 2 7 2 2" xfId="8367" xr:uid="{00000000-0005-0000-0000-00004D050000}"/>
    <cellStyle name="40% - Accent3 2 7 2 2 2" xfId="25302" xr:uid="{0DA23826-006D-4579-A0F3-960E282493BF}"/>
    <cellStyle name="40% - Accent3 2 7 2 2 3" xfId="16861" xr:uid="{8EF5012F-83D8-4F59-8DAF-B2D5A53807D8}"/>
    <cellStyle name="40% - Accent3 2 7 2 3" xfId="21084" xr:uid="{96E69C16-F574-4279-BBFD-726736E601CF}"/>
    <cellStyle name="40% - Accent3 2 7 2 4" xfId="12642" xr:uid="{A3E7AD19-5C1A-431A-B4C0-CAA837229636}"/>
    <cellStyle name="40% - Accent3 2 7 3" xfId="6222" xr:uid="{00000000-0005-0000-0000-00004E050000}"/>
    <cellStyle name="40% - Accent3 2 7 3 2" xfId="23157" xr:uid="{ADB54E4F-1503-4FFA-B21C-15BE1DA718EA}"/>
    <cellStyle name="40% - Accent3 2 7 3 3" xfId="14716" xr:uid="{A3ECB46A-048D-459E-BD7C-8F1CF5CB4EDE}"/>
    <cellStyle name="40% - Accent3 2 7 4" xfId="18939" xr:uid="{799491C9-D5ED-4732-8650-5BC4E12B240A}"/>
    <cellStyle name="40% - Accent3 2 7 5" xfId="10465" xr:uid="{FE5912F3-8E9F-411A-8643-7D0E712899C6}"/>
    <cellStyle name="40% - Accent3 2 8" xfId="2329" xr:uid="{00000000-0005-0000-0000-00004F050000}"/>
    <cellStyle name="40% - Accent3 2 8 2" xfId="6635" xr:uid="{00000000-0005-0000-0000-000050050000}"/>
    <cellStyle name="40% - Accent3 2 8 2 2" xfId="23570" xr:uid="{548B8E8F-3864-43D5-B0F6-141B1A174735}"/>
    <cellStyle name="40% - Accent3 2 8 2 3" xfId="15129" xr:uid="{1F0D2EE8-05A0-4C5C-AAED-676FC12B5ECE}"/>
    <cellStyle name="40% - Accent3 2 8 3" xfId="19352" xr:uid="{59C28828-51BE-4276-8D34-A5A09C5F9A19}"/>
    <cellStyle name="40% - Accent3 2 8 4" xfId="10878" xr:uid="{45F1FCA2-1A5A-4128-B4B9-75D15EB49D03}"/>
    <cellStyle name="40% - Accent3 2 9" xfId="4569" xr:uid="{00000000-0005-0000-0000-000051050000}"/>
    <cellStyle name="40% - Accent3 2 9 2" xfId="21504" xr:uid="{3106EBAB-649F-42F7-9B1E-E21DB4B45227}"/>
    <cellStyle name="40% - Accent3 2 9 3" xfId="13063" xr:uid="{B4C365BF-4537-40D0-A5CB-4CEECD333F84}"/>
    <cellStyle name="40% - Accent3 3" xfId="70" xr:uid="{00000000-0005-0000-0000-000052050000}"/>
    <cellStyle name="40% - Accent3 3 10" xfId="8805" xr:uid="{321A28EE-A648-4773-975D-3BF6F1A7A6FF}"/>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068" xr:uid="{220F1227-4E2A-4A0B-B12F-1C379EDA5055}"/>
    <cellStyle name="40% - Accent3 3 2 2 2 2 3" xfId="15627" xr:uid="{24B8EBBF-9B87-4C8E-A033-BF440A411932}"/>
    <cellStyle name="40% - Accent3 3 2 2 2 3" xfId="19850" xr:uid="{6D126238-52EA-40EF-8BB9-ACE8D5791941}"/>
    <cellStyle name="40% - Accent3 3 2 2 2 4" xfId="11408" xr:uid="{720E0DF1-FCE7-477A-90F1-7BBEAA49CF38}"/>
    <cellStyle name="40% - Accent3 3 2 2 3" xfId="4988" xr:uid="{00000000-0005-0000-0000-000057050000}"/>
    <cellStyle name="40% - Accent3 3 2 2 3 2" xfId="21923" xr:uid="{3338DBD6-40F1-4490-94AD-85B8F1D42028}"/>
    <cellStyle name="40% - Accent3 3 2 2 3 3" xfId="13482" xr:uid="{76D16A7A-9DF8-42BF-BF17-3DB98E075940}"/>
    <cellStyle name="40% - Accent3 3 2 2 4" xfId="17705" xr:uid="{95376059-05EE-4433-AAF2-2CBC367E3A05}"/>
    <cellStyle name="40% - Accent3 3 2 2 5" xfId="9230" xr:uid="{0D9BF92A-EA9B-4DD9-943E-FBBC4602AA8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4481" xr:uid="{0280C4F6-0D6D-4BC3-9762-7904641FB771}"/>
    <cellStyle name="40% - Accent3 3 2 3 2 2 3" xfId="16040" xr:uid="{4F57F149-E0B1-43FB-90C9-FCC3B2A60B3E}"/>
    <cellStyle name="40% - Accent3 3 2 3 2 3" xfId="20263" xr:uid="{9A638846-2480-477B-B615-BD02C8E79627}"/>
    <cellStyle name="40% - Accent3 3 2 3 2 4" xfId="11821" xr:uid="{A80D8DFC-7C99-42E3-ABC4-97E6FD9C36B7}"/>
    <cellStyle name="40% - Accent3 3 2 3 3" xfId="5401" xr:uid="{00000000-0005-0000-0000-00005B050000}"/>
    <cellStyle name="40% - Accent3 3 2 3 3 2" xfId="22336" xr:uid="{152D046F-460F-439B-949A-4797B5B4CE11}"/>
    <cellStyle name="40% - Accent3 3 2 3 3 3" xfId="13895" xr:uid="{AAAA90CA-FFBE-47EB-8014-9172EFFECCDE}"/>
    <cellStyle name="40% - Accent3 3 2 3 4" xfId="18118" xr:uid="{7A21402C-BF13-43B3-920F-21BED303F3E5}"/>
    <cellStyle name="40% - Accent3 3 2 3 5" xfId="9644" xr:uid="{F1EC9125-9286-436F-9E0D-4249BCE6C6F2}"/>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4894" xr:uid="{995A9402-61B8-41DE-9FAD-5B55EA0901FD}"/>
    <cellStyle name="40% - Accent3 3 2 4 2 2 3" xfId="16453" xr:uid="{6498DE21-5F76-4934-BD87-684A8DE7347F}"/>
    <cellStyle name="40% - Accent3 3 2 4 2 3" xfId="20676" xr:uid="{65DED797-B92D-4486-B94E-16ECE99D84D7}"/>
    <cellStyle name="40% - Accent3 3 2 4 2 4" xfId="12234" xr:uid="{D91870C1-49A5-4E5D-A3A3-36CFB28815B6}"/>
    <cellStyle name="40% - Accent3 3 2 4 3" xfId="5814" xr:uid="{00000000-0005-0000-0000-00005F050000}"/>
    <cellStyle name="40% - Accent3 3 2 4 3 2" xfId="22749" xr:uid="{E71613F4-A8ED-4058-9D50-3A1945B70E20}"/>
    <cellStyle name="40% - Accent3 3 2 4 3 3" xfId="14308" xr:uid="{75DA015E-E07F-42FA-8A74-47E3E7E03C62}"/>
    <cellStyle name="40% - Accent3 3 2 4 4" xfId="18531" xr:uid="{88195DFC-3C69-47BF-952D-F3BF5F1AEDE9}"/>
    <cellStyle name="40% - Accent3 3 2 4 5" xfId="10057" xr:uid="{91C5A92D-CAA0-42FC-9193-2BB535FE9F1A}"/>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5307" xr:uid="{EB912B11-CBF8-47EE-9CCF-792DD674440B}"/>
    <cellStyle name="40% - Accent3 3 2 5 2 2 3" xfId="16866" xr:uid="{C48AF79C-5520-4564-837B-0DD9BEB7F954}"/>
    <cellStyle name="40% - Accent3 3 2 5 2 3" xfId="21089" xr:uid="{583BFCAE-4413-40D9-B456-558C68B93C9C}"/>
    <cellStyle name="40% - Accent3 3 2 5 2 4" xfId="12647" xr:uid="{6AE6897E-BB8A-4542-B065-7287F747BA7A}"/>
    <cellStyle name="40% - Accent3 3 2 5 3" xfId="6227" xr:uid="{00000000-0005-0000-0000-000063050000}"/>
    <cellStyle name="40% - Accent3 3 2 5 3 2" xfId="23162" xr:uid="{BBE75302-74BF-403E-BFDB-FA871C00A93B}"/>
    <cellStyle name="40% - Accent3 3 2 5 3 3" xfId="14721" xr:uid="{E3B96E9C-8184-40BA-A5FB-ED60C6A6CC18}"/>
    <cellStyle name="40% - Accent3 3 2 5 4" xfId="18944" xr:uid="{CF75BE34-79F5-4989-BB3E-8D7422BC6F82}"/>
    <cellStyle name="40% - Accent3 3 2 5 5" xfId="10470" xr:uid="{5056FAF5-637E-4B52-ABA4-1471D3B2C7DA}"/>
    <cellStyle name="40% - Accent3 3 2 6" xfId="2334" xr:uid="{00000000-0005-0000-0000-000064050000}"/>
    <cellStyle name="40% - Accent3 3 2 6 2" xfId="6640" xr:uid="{00000000-0005-0000-0000-000065050000}"/>
    <cellStyle name="40% - Accent3 3 2 6 2 2" xfId="23575" xr:uid="{AED1B6F4-6378-40D7-8332-4A505920555A}"/>
    <cellStyle name="40% - Accent3 3 2 6 2 3" xfId="15134" xr:uid="{DFFE7E80-AB9B-42E5-A6FF-638A49501674}"/>
    <cellStyle name="40% - Accent3 3 2 6 3" xfId="19357" xr:uid="{0D5CFABD-C141-4F50-8894-135401674C75}"/>
    <cellStyle name="40% - Accent3 3 2 6 4" xfId="10883" xr:uid="{04CA4670-ACC0-48DA-81AA-2EF88F51D40B}"/>
    <cellStyle name="40% - Accent3 3 2 7" xfId="4574" xr:uid="{00000000-0005-0000-0000-000066050000}"/>
    <cellStyle name="40% - Accent3 3 2 7 2" xfId="21509" xr:uid="{EC109F51-7D2F-43C0-A29C-56A68958FB5A}"/>
    <cellStyle name="40% - Accent3 3 2 7 3" xfId="13068" xr:uid="{BEAF4469-F373-4E9F-9F52-91BC62BF6B65}"/>
    <cellStyle name="40% - Accent3 3 2 8" xfId="17291" xr:uid="{7C94D292-52A3-4965-9426-21E2FD2B64C9}"/>
    <cellStyle name="40% - Accent3 3 2 9" xfId="8806" xr:uid="{04E76CBC-DA36-4BD8-AA88-E0B3A64965B3}"/>
    <cellStyle name="40% - Accent3 3 3" xfId="639" xr:uid="{00000000-0005-0000-0000-000067050000}"/>
    <cellStyle name="40% - Accent3 3 3 2" xfId="2910" xr:uid="{00000000-0005-0000-0000-000068050000}"/>
    <cellStyle name="40% - Accent3 3 3 2 2" xfId="7132" xr:uid="{00000000-0005-0000-0000-000069050000}"/>
    <cellStyle name="40% - Accent3 3 3 2 2 2" xfId="24067" xr:uid="{B0BB50E6-E085-4B07-809C-8D93A876D2A8}"/>
    <cellStyle name="40% - Accent3 3 3 2 2 3" xfId="15626" xr:uid="{60BD009A-7FF8-40C1-8F3D-454F4EC3A7AF}"/>
    <cellStyle name="40% - Accent3 3 3 2 3" xfId="19849" xr:uid="{89000979-A4ED-4280-9691-1F5208C086EC}"/>
    <cellStyle name="40% - Accent3 3 3 2 4" xfId="11407" xr:uid="{EF284FF7-C775-45FA-92C0-2D68D26DFC63}"/>
    <cellStyle name="40% - Accent3 3 3 3" xfId="4987" xr:uid="{00000000-0005-0000-0000-00006A050000}"/>
    <cellStyle name="40% - Accent3 3 3 3 2" xfId="21922" xr:uid="{32C4D313-2F63-4496-BC55-4E155CFD1295}"/>
    <cellStyle name="40% - Accent3 3 3 3 3" xfId="13481" xr:uid="{132EE801-1111-4C32-8359-71CF5DE78E77}"/>
    <cellStyle name="40% - Accent3 3 3 4" xfId="17704" xr:uid="{FD31A436-3062-490C-A7EB-ECB6FA72B9B8}"/>
    <cellStyle name="40% - Accent3 3 3 5" xfId="9229" xr:uid="{DA450FA1-CE0E-4AB5-899D-9697E654BB85}"/>
    <cellStyle name="40% - Accent3 3 4" xfId="1092" xr:uid="{00000000-0005-0000-0000-00006B050000}"/>
    <cellStyle name="40% - Accent3 3 4 2" xfId="3323" xr:uid="{00000000-0005-0000-0000-00006C050000}"/>
    <cellStyle name="40% - Accent3 3 4 2 2" xfId="7545" xr:uid="{00000000-0005-0000-0000-00006D050000}"/>
    <cellStyle name="40% - Accent3 3 4 2 2 2" xfId="24480" xr:uid="{9785FB53-6FA5-42EF-8E9D-34FD1D32F2FF}"/>
    <cellStyle name="40% - Accent3 3 4 2 2 3" xfId="16039" xr:uid="{E741EC48-CC7B-4EFC-9A51-E3AC4CB83723}"/>
    <cellStyle name="40% - Accent3 3 4 2 3" xfId="20262" xr:uid="{EA6C707E-8A0F-4A49-AF4B-CF5D21B5E25A}"/>
    <cellStyle name="40% - Accent3 3 4 2 4" xfId="11820" xr:uid="{CCCE2A39-2270-480F-941D-FAB4236C8705}"/>
    <cellStyle name="40% - Accent3 3 4 3" xfId="5400" xr:uid="{00000000-0005-0000-0000-00006E050000}"/>
    <cellStyle name="40% - Accent3 3 4 3 2" xfId="22335" xr:uid="{12390F66-0D8F-43A1-B53A-FFA286C2EB39}"/>
    <cellStyle name="40% - Accent3 3 4 3 3" xfId="13894" xr:uid="{1DFF4B9E-D294-4BFC-BEC8-ECC4C155E685}"/>
    <cellStyle name="40% - Accent3 3 4 4" xfId="18117" xr:uid="{131B3BDC-1E0B-4A5F-AB50-57198CA3A1BB}"/>
    <cellStyle name="40% - Accent3 3 4 5" xfId="9643" xr:uid="{B617E9D4-8FAE-4199-B163-15F0D679E817}"/>
    <cellStyle name="40% - Accent3 3 5" xfId="1506" xr:uid="{00000000-0005-0000-0000-00006F050000}"/>
    <cellStyle name="40% - Accent3 3 5 2" xfId="3736" xr:uid="{00000000-0005-0000-0000-000070050000}"/>
    <cellStyle name="40% - Accent3 3 5 2 2" xfId="7958" xr:uid="{00000000-0005-0000-0000-000071050000}"/>
    <cellStyle name="40% - Accent3 3 5 2 2 2" xfId="24893" xr:uid="{86651BE6-608B-4159-BE1A-8D7913791EBA}"/>
    <cellStyle name="40% - Accent3 3 5 2 2 3" xfId="16452" xr:uid="{8F03D1A3-5756-451D-B3DF-E104B43DDF5A}"/>
    <cellStyle name="40% - Accent3 3 5 2 3" xfId="20675" xr:uid="{43EC45F2-A330-4193-8F57-FBE0F395BEE0}"/>
    <cellStyle name="40% - Accent3 3 5 2 4" xfId="12233" xr:uid="{61545DDB-88F3-4F09-9E57-6DC615A1F2CF}"/>
    <cellStyle name="40% - Accent3 3 5 3" xfId="5813" xr:uid="{00000000-0005-0000-0000-000072050000}"/>
    <cellStyle name="40% - Accent3 3 5 3 2" xfId="22748" xr:uid="{6D90C2B6-EAC1-4C0D-967B-E18B329E1723}"/>
    <cellStyle name="40% - Accent3 3 5 3 3" xfId="14307" xr:uid="{DE99F835-FA99-403F-8952-3A84EE7BFBB2}"/>
    <cellStyle name="40% - Accent3 3 5 4" xfId="18530" xr:uid="{E0EB6D47-9DF3-42EA-8359-61ED4BAF5CBB}"/>
    <cellStyle name="40% - Accent3 3 5 5" xfId="10056" xr:uid="{F7370EAF-D314-4CA8-A0B1-9C2575FD9203}"/>
    <cellStyle name="40% - Accent3 3 6" xfId="1920" xr:uid="{00000000-0005-0000-0000-000073050000}"/>
    <cellStyle name="40% - Accent3 3 6 2" xfId="4149" xr:uid="{00000000-0005-0000-0000-000074050000}"/>
    <cellStyle name="40% - Accent3 3 6 2 2" xfId="8371" xr:uid="{00000000-0005-0000-0000-000075050000}"/>
    <cellStyle name="40% - Accent3 3 6 2 2 2" xfId="25306" xr:uid="{51AD3F63-BF27-480F-BF2D-FCFF0FAC7838}"/>
    <cellStyle name="40% - Accent3 3 6 2 2 3" xfId="16865" xr:uid="{B9874EF2-3495-4BFB-B00A-2967507B6E5B}"/>
    <cellStyle name="40% - Accent3 3 6 2 3" xfId="21088" xr:uid="{67B77535-7353-40F7-92C3-35E76D276516}"/>
    <cellStyle name="40% - Accent3 3 6 2 4" xfId="12646" xr:uid="{ED9F3639-6E75-4176-BE1C-EEA17E2CD6DB}"/>
    <cellStyle name="40% - Accent3 3 6 3" xfId="6226" xr:uid="{00000000-0005-0000-0000-000076050000}"/>
    <cellStyle name="40% - Accent3 3 6 3 2" xfId="23161" xr:uid="{6869F179-75AB-4F7B-8810-ACBFF8D71242}"/>
    <cellStyle name="40% - Accent3 3 6 3 3" xfId="14720" xr:uid="{8DADD105-61A7-474E-AEAA-0F8B64FDBDBB}"/>
    <cellStyle name="40% - Accent3 3 6 4" xfId="18943" xr:uid="{CAE5308A-C459-48B1-92B0-4DF55262DECB}"/>
    <cellStyle name="40% - Accent3 3 6 5" xfId="10469" xr:uid="{31948B76-A382-4BD3-A1EA-2521CDE8DA94}"/>
    <cellStyle name="40% - Accent3 3 7" xfId="2333" xr:uid="{00000000-0005-0000-0000-000077050000}"/>
    <cellStyle name="40% - Accent3 3 7 2" xfId="6639" xr:uid="{00000000-0005-0000-0000-000078050000}"/>
    <cellStyle name="40% - Accent3 3 7 2 2" xfId="23574" xr:uid="{C1B544BC-36B2-4CED-B827-217ADAD9C0DA}"/>
    <cellStyle name="40% - Accent3 3 7 2 3" xfId="15133" xr:uid="{394CA343-4747-4370-BB2C-95064A265132}"/>
    <cellStyle name="40% - Accent3 3 7 3" xfId="19356" xr:uid="{3368E69B-BFE1-4963-83B2-1A188A7F47C9}"/>
    <cellStyle name="40% - Accent3 3 7 4" xfId="10882" xr:uid="{32B87834-D164-4F26-8455-C63065831B29}"/>
    <cellStyle name="40% - Accent3 3 8" xfId="4573" xr:uid="{00000000-0005-0000-0000-000079050000}"/>
    <cellStyle name="40% - Accent3 3 8 2" xfId="21508" xr:uid="{665467B9-D90E-4834-B561-0890D8282CB9}"/>
    <cellStyle name="40% - Accent3 3 8 3" xfId="13067" xr:uid="{F440B87A-98DD-4B3A-ACCE-9C5C980B61AC}"/>
    <cellStyle name="40% - Accent3 3 9" xfId="17290" xr:uid="{DE49E235-0B67-412B-A464-B26F1F54C3C9}"/>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24069" xr:uid="{791C057A-8FEE-4D5A-9838-2B767814945E}"/>
    <cellStyle name="40% - Accent3 4 2 2 2 3" xfId="15628" xr:uid="{134F00C6-8AFF-479B-81F4-6A8EA1AB77BA}"/>
    <cellStyle name="40% - Accent3 4 2 2 3" xfId="19851" xr:uid="{020EE6A7-CACF-489C-8B57-596EA65A9115}"/>
    <cellStyle name="40% - Accent3 4 2 2 4" xfId="11409" xr:uid="{1567C00A-1DE2-4365-9187-D69911BA8413}"/>
    <cellStyle name="40% - Accent3 4 2 3" xfId="4989" xr:uid="{00000000-0005-0000-0000-00007E050000}"/>
    <cellStyle name="40% - Accent3 4 2 3 2" xfId="21924" xr:uid="{66692A20-927C-449E-8616-4E3C0613EA2C}"/>
    <cellStyle name="40% - Accent3 4 2 3 3" xfId="13483" xr:uid="{41F99F92-AAF2-4FF0-9B4C-5DBB95C089B3}"/>
    <cellStyle name="40% - Accent3 4 2 4" xfId="17706" xr:uid="{5319446B-137A-4461-9096-8B38CD3ACF6A}"/>
    <cellStyle name="40% - Accent3 4 2 5" xfId="9231" xr:uid="{D68D6283-965E-4692-B805-919CCD034AC4}"/>
    <cellStyle name="40% - Accent3 4 3" xfId="1094" xr:uid="{00000000-0005-0000-0000-00007F050000}"/>
    <cellStyle name="40% - Accent3 4 3 2" xfId="3325" xr:uid="{00000000-0005-0000-0000-000080050000}"/>
    <cellStyle name="40% - Accent3 4 3 2 2" xfId="7547" xr:uid="{00000000-0005-0000-0000-000081050000}"/>
    <cellStyle name="40% - Accent3 4 3 2 2 2" xfId="24482" xr:uid="{EE5D212D-EBF6-4663-9BF7-EE1E145643C9}"/>
    <cellStyle name="40% - Accent3 4 3 2 2 3" xfId="16041" xr:uid="{CD3D5ABC-529B-4E47-B7EA-843EC48BBEE1}"/>
    <cellStyle name="40% - Accent3 4 3 2 3" xfId="20264" xr:uid="{03E7D955-D312-4509-8D46-B30D3C2FEF20}"/>
    <cellStyle name="40% - Accent3 4 3 2 4" xfId="11822" xr:uid="{8488C925-0C2B-4223-B035-5D4D2BCFCE9D}"/>
    <cellStyle name="40% - Accent3 4 3 3" xfId="5402" xr:uid="{00000000-0005-0000-0000-000082050000}"/>
    <cellStyle name="40% - Accent3 4 3 3 2" xfId="22337" xr:uid="{C0C28AD7-0725-4D19-A078-12A8B6082359}"/>
    <cellStyle name="40% - Accent3 4 3 3 3" xfId="13896" xr:uid="{6EE7E9C3-F708-46C0-B360-78FE453D510F}"/>
    <cellStyle name="40% - Accent3 4 3 4" xfId="18119" xr:uid="{45351EFE-F006-4674-9C30-3948AE38B284}"/>
    <cellStyle name="40% - Accent3 4 3 5" xfId="9645" xr:uid="{5D120D10-FD8F-4B67-A678-7C11F3BEAEA4}"/>
    <cellStyle name="40% - Accent3 4 4" xfId="1508" xr:uid="{00000000-0005-0000-0000-000083050000}"/>
    <cellStyle name="40% - Accent3 4 4 2" xfId="3738" xr:uid="{00000000-0005-0000-0000-000084050000}"/>
    <cellStyle name="40% - Accent3 4 4 2 2" xfId="7960" xr:uid="{00000000-0005-0000-0000-000085050000}"/>
    <cellStyle name="40% - Accent3 4 4 2 2 2" xfId="24895" xr:uid="{0856B065-E736-4E91-BC67-7398412DC24D}"/>
    <cellStyle name="40% - Accent3 4 4 2 2 3" xfId="16454" xr:uid="{1A68D363-0110-4BE8-BFAD-576E2C2138F8}"/>
    <cellStyle name="40% - Accent3 4 4 2 3" xfId="20677" xr:uid="{348B525F-8F34-422A-B38E-9B7C17666269}"/>
    <cellStyle name="40% - Accent3 4 4 2 4" xfId="12235" xr:uid="{798E5C73-D7E5-4E4B-813B-B63900A01F2C}"/>
    <cellStyle name="40% - Accent3 4 4 3" xfId="5815" xr:uid="{00000000-0005-0000-0000-000086050000}"/>
    <cellStyle name="40% - Accent3 4 4 3 2" xfId="22750" xr:uid="{BC41379E-8D4C-4F90-B2B7-431BED90A1BB}"/>
    <cellStyle name="40% - Accent3 4 4 3 3" xfId="14309" xr:uid="{9C2FD98A-8A75-497F-89B4-AC5740EF46E5}"/>
    <cellStyle name="40% - Accent3 4 4 4" xfId="18532" xr:uid="{CF8BC569-0698-42A6-B4D0-E22DFEB7D3FC}"/>
    <cellStyle name="40% - Accent3 4 4 5" xfId="10058" xr:uid="{A0AE0544-9711-4A1A-B3EA-87048E2BE836}"/>
    <cellStyle name="40% - Accent3 4 5" xfId="1922" xr:uid="{00000000-0005-0000-0000-000087050000}"/>
    <cellStyle name="40% - Accent3 4 5 2" xfId="4151" xr:uid="{00000000-0005-0000-0000-000088050000}"/>
    <cellStyle name="40% - Accent3 4 5 2 2" xfId="8373" xr:uid="{00000000-0005-0000-0000-000089050000}"/>
    <cellStyle name="40% - Accent3 4 5 2 2 2" xfId="25308" xr:uid="{BC817BB7-CFBF-42E9-8956-715C837F5973}"/>
    <cellStyle name="40% - Accent3 4 5 2 2 3" xfId="16867" xr:uid="{CDA6B428-01A2-435B-BB86-A3380A009E75}"/>
    <cellStyle name="40% - Accent3 4 5 2 3" xfId="21090" xr:uid="{9E0709A8-77D8-4D69-9DBC-AAA25B45C2B9}"/>
    <cellStyle name="40% - Accent3 4 5 2 4" xfId="12648" xr:uid="{298E2373-21E0-4C43-B648-87D423B166A3}"/>
    <cellStyle name="40% - Accent3 4 5 3" xfId="6228" xr:uid="{00000000-0005-0000-0000-00008A050000}"/>
    <cellStyle name="40% - Accent3 4 5 3 2" xfId="23163" xr:uid="{8B16BBA8-BF6C-47A6-8A07-EB837E12E1FE}"/>
    <cellStyle name="40% - Accent3 4 5 3 3" xfId="14722" xr:uid="{C951A7AA-FF2F-448A-AA44-2ACF9095440B}"/>
    <cellStyle name="40% - Accent3 4 5 4" xfId="18945" xr:uid="{2E6271C9-F3C9-419B-9EAA-7099E327268F}"/>
    <cellStyle name="40% - Accent3 4 5 5" xfId="10471" xr:uid="{17082826-CE93-4234-B156-35CD030C32EB}"/>
    <cellStyle name="40% - Accent3 4 6" xfId="2335" xr:uid="{00000000-0005-0000-0000-00008B050000}"/>
    <cellStyle name="40% - Accent3 4 6 2" xfId="6641" xr:uid="{00000000-0005-0000-0000-00008C050000}"/>
    <cellStyle name="40% - Accent3 4 6 2 2" xfId="23576" xr:uid="{B17AB139-CFF6-40F0-A455-43C35237C51C}"/>
    <cellStyle name="40% - Accent3 4 6 2 3" xfId="15135" xr:uid="{40333FC1-990E-4548-8EB2-80C4F79BD0F0}"/>
    <cellStyle name="40% - Accent3 4 6 3" xfId="19358" xr:uid="{E81A4C5A-189B-44ED-A0AB-8B4D9AA488D0}"/>
    <cellStyle name="40% - Accent3 4 6 4" xfId="10884" xr:uid="{B1E35A0C-8570-4E1D-A33E-30FE05A47B50}"/>
    <cellStyle name="40% - Accent3 4 7" xfId="4575" xr:uid="{00000000-0005-0000-0000-00008D050000}"/>
    <cellStyle name="40% - Accent3 4 7 2" xfId="21510" xr:uid="{8FD7AA93-74A4-4521-8E27-A189F72D8CF4}"/>
    <cellStyle name="40% - Accent3 4 7 3" xfId="13069" xr:uid="{A8A35FEA-583C-4435-92C5-D39948A0B109}"/>
    <cellStyle name="40% - Accent3 4 8" xfId="17292" xr:uid="{4677C03D-EF95-4E55-8FF8-C681B68AC256}"/>
    <cellStyle name="40% - Accent3 4 9" xfId="8807" xr:uid="{CD7873D9-E058-4B63-9697-505B13F54E64}"/>
    <cellStyle name="40% - Accent3 5" xfId="634" xr:uid="{00000000-0005-0000-0000-00008E050000}"/>
    <cellStyle name="40% - Accent3 5 2" xfId="2905" xr:uid="{00000000-0005-0000-0000-00008F050000}"/>
    <cellStyle name="40% - Accent3 5 2 2" xfId="7127" xr:uid="{00000000-0005-0000-0000-000090050000}"/>
    <cellStyle name="40% - Accent3 5 2 2 2" xfId="24062" xr:uid="{4DD771A3-48DF-45A8-97A0-99A6707D35C1}"/>
    <cellStyle name="40% - Accent3 5 2 2 3" xfId="15621" xr:uid="{144BF835-1422-4EE0-9116-552DBC06DA3E}"/>
    <cellStyle name="40% - Accent3 5 2 3" xfId="19844" xr:uid="{23836B81-E919-4900-8064-98559747CE2A}"/>
    <cellStyle name="40% - Accent3 5 2 4" xfId="11402" xr:uid="{33519387-FACE-4989-A8E1-652651256087}"/>
    <cellStyle name="40% - Accent3 5 3" xfId="4982" xr:uid="{00000000-0005-0000-0000-000091050000}"/>
    <cellStyle name="40% - Accent3 5 3 2" xfId="21917" xr:uid="{A4EA9C76-6D54-44DD-B905-297DC3DEC2DD}"/>
    <cellStyle name="40% - Accent3 5 3 3" xfId="13476" xr:uid="{AA06DC8E-349A-4274-9ECD-B2A729EE9816}"/>
    <cellStyle name="40% - Accent3 5 4" xfId="17699" xr:uid="{32BFFBDC-5190-463E-96DD-9B296B013CD7}"/>
    <cellStyle name="40% - Accent3 5 5" xfId="9224" xr:uid="{036E0769-09E8-444B-B64A-4458FF9429DE}"/>
    <cellStyle name="40% - Accent3 6" xfId="1087" xr:uid="{00000000-0005-0000-0000-000092050000}"/>
    <cellStyle name="40% - Accent3 6 2" xfId="3318" xr:uid="{00000000-0005-0000-0000-000093050000}"/>
    <cellStyle name="40% - Accent3 6 2 2" xfId="7540" xr:uid="{00000000-0005-0000-0000-000094050000}"/>
    <cellStyle name="40% - Accent3 6 2 2 2" xfId="24475" xr:uid="{26C2C7A6-2D9A-4033-B467-35D4E68F8886}"/>
    <cellStyle name="40% - Accent3 6 2 2 3" xfId="16034" xr:uid="{9A68FCC1-F5F1-418C-BF8A-2E4DFF538B26}"/>
    <cellStyle name="40% - Accent3 6 2 3" xfId="20257" xr:uid="{6B2B7370-CA15-41DE-A8D3-191C80DC345D}"/>
    <cellStyle name="40% - Accent3 6 2 4" xfId="11815" xr:uid="{BC220EF5-00CC-479A-B03D-557AA4F30E27}"/>
    <cellStyle name="40% - Accent3 6 3" xfId="5395" xr:uid="{00000000-0005-0000-0000-000095050000}"/>
    <cellStyle name="40% - Accent3 6 3 2" xfId="22330" xr:uid="{822FAEA7-AD3E-4C0D-B63B-D7B81636710E}"/>
    <cellStyle name="40% - Accent3 6 3 3" xfId="13889" xr:uid="{A313EACC-2CCB-4502-8304-1853048AE735}"/>
    <cellStyle name="40% - Accent3 6 4" xfId="18112" xr:uid="{458C3310-A89B-4C08-99C1-5D2EEBE58CC9}"/>
    <cellStyle name="40% - Accent3 6 5" xfId="9638" xr:uid="{A8B6DB19-DAD3-438D-9205-0394D1A0067E}"/>
    <cellStyle name="40% - Accent3 7" xfId="1501" xr:uid="{00000000-0005-0000-0000-000096050000}"/>
    <cellStyle name="40% - Accent3 7 2" xfId="3731" xr:uid="{00000000-0005-0000-0000-000097050000}"/>
    <cellStyle name="40% - Accent3 7 2 2" xfId="7953" xr:uid="{00000000-0005-0000-0000-000098050000}"/>
    <cellStyle name="40% - Accent3 7 2 2 2" xfId="24888" xr:uid="{FF0D28B9-45D9-4BAB-9786-E383B1EBD36D}"/>
    <cellStyle name="40% - Accent3 7 2 2 3" xfId="16447" xr:uid="{E6956134-86DC-4ABE-8463-AE65FD9C9E6D}"/>
    <cellStyle name="40% - Accent3 7 2 3" xfId="20670" xr:uid="{D4A86B0C-ACB4-481A-A2DD-373D7B7E109D}"/>
    <cellStyle name="40% - Accent3 7 2 4" xfId="12228" xr:uid="{BAE2AE3B-6266-46F0-A2DD-8AC51F9D3C7C}"/>
    <cellStyle name="40% - Accent3 7 3" xfId="5808" xr:uid="{00000000-0005-0000-0000-000099050000}"/>
    <cellStyle name="40% - Accent3 7 3 2" xfId="22743" xr:uid="{918A01DF-AAB5-49F5-B48C-4F8A62137115}"/>
    <cellStyle name="40% - Accent3 7 3 3" xfId="14302" xr:uid="{BA1326F7-435B-4F90-9E28-482A3DAD6A97}"/>
    <cellStyle name="40% - Accent3 7 4" xfId="18525" xr:uid="{F3D74880-616D-4D44-B1CC-6F0DEB31A272}"/>
    <cellStyle name="40% - Accent3 7 5" xfId="10051" xr:uid="{132F262D-8219-4AEB-9C0C-7C3BAE5ACF5E}"/>
    <cellStyle name="40% - Accent3 8" xfId="1915" xr:uid="{00000000-0005-0000-0000-00009A050000}"/>
    <cellStyle name="40% - Accent3 8 2" xfId="4144" xr:uid="{00000000-0005-0000-0000-00009B050000}"/>
    <cellStyle name="40% - Accent3 8 2 2" xfId="8366" xr:uid="{00000000-0005-0000-0000-00009C050000}"/>
    <cellStyle name="40% - Accent3 8 2 2 2" xfId="25301" xr:uid="{342F7AD8-F563-4C46-A82C-C5570D2CE235}"/>
    <cellStyle name="40% - Accent3 8 2 2 3" xfId="16860" xr:uid="{AC8035B4-5F38-496F-936A-44A38CFA4A85}"/>
    <cellStyle name="40% - Accent3 8 2 3" xfId="21083" xr:uid="{26945137-2B42-4801-ADED-203850E46ACD}"/>
    <cellStyle name="40% - Accent3 8 2 4" xfId="12641" xr:uid="{F9AA4F0F-79A7-4FCB-B6B6-75685285313A}"/>
    <cellStyle name="40% - Accent3 8 3" xfId="6221" xr:uid="{00000000-0005-0000-0000-00009D050000}"/>
    <cellStyle name="40% - Accent3 8 3 2" xfId="23156" xr:uid="{B24C0006-93DF-4376-A1A4-4167BE56DA81}"/>
    <cellStyle name="40% - Accent3 8 3 3" xfId="14715" xr:uid="{07D64FAB-2CF3-42E2-B7DA-C38E71A13F48}"/>
    <cellStyle name="40% - Accent3 8 4" xfId="18938" xr:uid="{CEF36535-88D4-42A3-81AD-EC8B167860D7}"/>
    <cellStyle name="40% - Accent3 8 5" xfId="10464" xr:uid="{B2C2BF35-DEC9-4F58-8189-EE28F385D63A}"/>
    <cellStyle name="40% - Accent3 9" xfId="2328" xr:uid="{00000000-0005-0000-0000-00009E050000}"/>
    <cellStyle name="40% - Accent3 9 2" xfId="6634" xr:uid="{00000000-0005-0000-0000-00009F050000}"/>
    <cellStyle name="40% - Accent3 9 2 2" xfId="23569" xr:uid="{1FB8D803-3070-425D-A580-73B18341054E}"/>
    <cellStyle name="40% - Accent3 9 2 3" xfId="15128" xr:uid="{3A7DE1B5-606D-42A2-90FE-DED33F0B46BC}"/>
    <cellStyle name="40% - Accent3 9 3" xfId="19351" xr:uid="{26342040-C75E-471A-9D0E-E0C270AAB04B}"/>
    <cellStyle name="40% - Accent3 9 4" xfId="10877" xr:uid="{D4392B9C-45C7-4397-9304-C4F8EA616391}"/>
    <cellStyle name="40% - Accent4" xfId="73" builtinId="43" customBuiltin="1"/>
    <cellStyle name="40% - Accent4 10" xfId="4576" xr:uid="{00000000-0005-0000-0000-0000A1050000}"/>
    <cellStyle name="40% - Accent4 10 2" xfId="21511" xr:uid="{E1F819B0-2C24-4050-BA83-16731190AD9A}"/>
    <cellStyle name="40% - Accent4 10 3" xfId="13070" xr:uid="{BD6911CB-6DF7-4068-8E80-1FA9E4F0DF36}"/>
    <cellStyle name="40% - Accent4 11" xfId="17293" xr:uid="{BA552D01-A6B4-4BCC-B4FF-AC0712617B85}"/>
    <cellStyle name="40% - Accent4 12" xfId="8808" xr:uid="{DEC610A6-60CB-4970-9B83-64E315D83615}"/>
    <cellStyle name="40% - Accent4 2" xfId="74" xr:uid="{00000000-0005-0000-0000-0000A2050000}"/>
    <cellStyle name="40% - Accent4 2 10" xfId="17294" xr:uid="{0A2CCBE8-D797-4094-85D4-2FCC72F9321B}"/>
    <cellStyle name="40% - Accent4 2 11" xfId="8809" xr:uid="{2820F222-C7A4-4B6F-AB02-50ACECF032D7}"/>
    <cellStyle name="40% - Accent4 2 2" xfId="75" xr:uid="{00000000-0005-0000-0000-0000A3050000}"/>
    <cellStyle name="40% - Accent4 2 2 10" xfId="8810" xr:uid="{1D4073B2-810B-44D3-913A-3926FB2687E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073" xr:uid="{8879983F-D3B4-46F2-9D61-745E33130D6C}"/>
    <cellStyle name="40% - Accent4 2 2 2 2 2 2 3" xfId="15632" xr:uid="{2E3ECBAF-F27F-4A0A-8F14-7D5F396F3386}"/>
    <cellStyle name="40% - Accent4 2 2 2 2 2 3" xfId="19855" xr:uid="{7F4D9633-927A-45A8-9AF4-B1AF816A0DCB}"/>
    <cellStyle name="40% - Accent4 2 2 2 2 2 4" xfId="11413" xr:uid="{CA20E424-F1F1-4474-BEEB-C332220B298E}"/>
    <cellStyle name="40% - Accent4 2 2 2 2 3" xfId="4993" xr:uid="{00000000-0005-0000-0000-0000A8050000}"/>
    <cellStyle name="40% - Accent4 2 2 2 2 3 2" xfId="21928" xr:uid="{244A3CEC-EB06-4B51-BBC3-4C4715E0F290}"/>
    <cellStyle name="40% - Accent4 2 2 2 2 3 3" xfId="13487" xr:uid="{8B1A5CEA-6312-48AC-BF82-D83FF135CA45}"/>
    <cellStyle name="40% - Accent4 2 2 2 2 4" xfId="17710" xr:uid="{B657332C-B4B1-481B-96D2-85A13CA4B23E}"/>
    <cellStyle name="40% - Accent4 2 2 2 2 5" xfId="9235" xr:uid="{1AC4066B-9268-4B1B-85A0-E8808A4D8FCD}"/>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4486" xr:uid="{70D8B1FA-CF1F-4D58-828C-A5D1C7B50759}"/>
    <cellStyle name="40% - Accent4 2 2 2 3 2 2 3" xfId="16045" xr:uid="{A2FF96C2-45AF-4628-9F8C-AA3EC5CA6D87}"/>
    <cellStyle name="40% - Accent4 2 2 2 3 2 3" xfId="20268" xr:uid="{7E0F2404-B20D-43F0-B58A-7B7AC9CA4C8A}"/>
    <cellStyle name="40% - Accent4 2 2 2 3 2 4" xfId="11826" xr:uid="{171ACF94-4541-47AA-95C9-3AE77BD604AB}"/>
    <cellStyle name="40% - Accent4 2 2 2 3 3" xfId="5406" xr:uid="{00000000-0005-0000-0000-0000AC050000}"/>
    <cellStyle name="40% - Accent4 2 2 2 3 3 2" xfId="22341" xr:uid="{1B0F866F-0702-48D1-8035-D645ABD04EE2}"/>
    <cellStyle name="40% - Accent4 2 2 2 3 3 3" xfId="13900" xr:uid="{A7C0A4BC-B4EC-4DA6-8588-28A1DC8183AE}"/>
    <cellStyle name="40% - Accent4 2 2 2 3 4" xfId="18123" xr:uid="{C280D44F-546C-4E05-8C30-16E1E9F5405D}"/>
    <cellStyle name="40% - Accent4 2 2 2 3 5" xfId="9649" xr:uid="{9F6EF52C-6799-47B7-BF5D-FC7D16CB3ED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4899" xr:uid="{599C9229-4C87-448D-80C9-FF0559B3358E}"/>
    <cellStyle name="40% - Accent4 2 2 2 4 2 2 3" xfId="16458" xr:uid="{0888D050-D52C-48A9-9388-7B2DB731978E}"/>
    <cellStyle name="40% - Accent4 2 2 2 4 2 3" xfId="20681" xr:uid="{8BB53455-3888-4F56-BF44-87D89FD12360}"/>
    <cellStyle name="40% - Accent4 2 2 2 4 2 4" xfId="12239" xr:uid="{BC450A81-97B5-47FA-B3D8-0D902671A5CB}"/>
    <cellStyle name="40% - Accent4 2 2 2 4 3" xfId="5819" xr:uid="{00000000-0005-0000-0000-0000B0050000}"/>
    <cellStyle name="40% - Accent4 2 2 2 4 3 2" xfId="22754" xr:uid="{8780FC52-7293-4E26-A534-631AA49C68CB}"/>
    <cellStyle name="40% - Accent4 2 2 2 4 3 3" xfId="14313" xr:uid="{B28E6758-6A9D-42B7-A6BD-A6AAD8D5B528}"/>
    <cellStyle name="40% - Accent4 2 2 2 4 4" xfId="18536" xr:uid="{ED8297B2-D76C-4433-A84A-C0973CC82AB1}"/>
    <cellStyle name="40% - Accent4 2 2 2 4 5" xfId="10062" xr:uid="{E1ECA72D-E5FF-4239-8423-1A865ECFFB6F}"/>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5312" xr:uid="{316CA512-1FFC-4914-B5CC-A60C82E3805E}"/>
    <cellStyle name="40% - Accent4 2 2 2 5 2 2 3" xfId="16871" xr:uid="{36E82A64-5CDD-4413-9416-8603735A1857}"/>
    <cellStyle name="40% - Accent4 2 2 2 5 2 3" xfId="21094" xr:uid="{0E06E5E1-70DA-4C35-B7E8-5E45AEDED162}"/>
    <cellStyle name="40% - Accent4 2 2 2 5 2 4" xfId="12652" xr:uid="{DD615C1F-2033-4DE1-9A50-7CCE4814AB88}"/>
    <cellStyle name="40% - Accent4 2 2 2 5 3" xfId="6232" xr:uid="{00000000-0005-0000-0000-0000B4050000}"/>
    <cellStyle name="40% - Accent4 2 2 2 5 3 2" xfId="23167" xr:uid="{465882CC-2F07-4D72-93A7-B692DE1E4615}"/>
    <cellStyle name="40% - Accent4 2 2 2 5 3 3" xfId="14726" xr:uid="{FAB3ED7F-DEDD-497E-9472-D7415F0FBF54}"/>
    <cellStyle name="40% - Accent4 2 2 2 5 4" xfId="18949" xr:uid="{5E0EBE2D-7FBF-4AE7-9017-B166CE8C9AB6}"/>
    <cellStyle name="40% - Accent4 2 2 2 5 5" xfId="10475" xr:uid="{933294D8-EEC5-49CD-829B-74F7CF9BDAD4}"/>
    <cellStyle name="40% - Accent4 2 2 2 6" xfId="2339" xr:uid="{00000000-0005-0000-0000-0000B5050000}"/>
    <cellStyle name="40% - Accent4 2 2 2 6 2" xfId="6645" xr:uid="{00000000-0005-0000-0000-0000B6050000}"/>
    <cellStyle name="40% - Accent4 2 2 2 6 2 2" xfId="23580" xr:uid="{DBA694A7-6362-433A-BFF0-C25796AF63A6}"/>
    <cellStyle name="40% - Accent4 2 2 2 6 2 3" xfId="15139" xr:uid="{2FA0E645-3DB3-4204-9408-76918C222300}"/>
    <cellStyle name="40% - Accent4 2 2 2 6 3" xfId="19362" xr:uid="{00BBA6F4-95FB-4049-BAEE-BCD161C3790A}"/>
    <cellStyle name="40% - Accent4 2 2 2 6 4" xfId="10888" xr:uid="{646570B7-9CAA-4B21-848C-DDC05699C4EA}"/>
    <cellStyle name="40% - Accent4 2 2 2 7" xfId="4579" xr:uid="{00000000-0005-0000-0000-0000B7050000}"/>
    <cellStyle name="40% - Accent4 2 2 2 7 2" xfId="21514" xr:uid="{0E7FC24D-C414-4FC4-AF41-F683C99659CD}"/>
    <cellStyle name="40% - Accent4 2 2 2 7 3" xfId="13073" xr:uid="{8B25D08C-E235-4906-A241-C84EF4CF7109}"/>
    <cellStyle name="40% - Accent4 2 2 2 8" xfId="17296" xr:uid="{77EA9C60-B02E-4302-AD01-0BDA3EAE0C1C}"/>
    <cellStyle name="40% - Accent4 2 2 2 9" xfId="8811" xr:uid="{F91DB5AE-7F4A-41B9-8647-D48DC8681146}"/>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072" xr:uid="{7ED437E9-B80D-444E-AE4C-47B3FF0355C0}"/>
    <cellStyle name="40% - Accent4 2 2 3 2 2 3" xfId="15631" xr:uid="{42B319CF-BD06-4AAD-B798-D8D3325EFA50}"/>
    <cellStyle name="40% - Accent4 2 2 3 2 3" xfId="19854" xr:uid="{B08000D0-9586-4B9B-A05F-23C5F3A7F99F}"/>
    <cellStyle name="40% - Accent4 2 2 3 2 4" xfId="11412" xr:uid="{54F44753-C06A-4E97-AB70-97423C963861}"/>
    <cellStyle name="40% - Accent4 2 2 3 3" xfId="4992" xr:uid="{00000000-0005-0000-0000-0000BB050000}"/>
    <cellStyle name="40% - Accent4 2 2 3 3 2" xfId="21927" xr:uid="{F2DD4C4D-1B4A-483A-9F9F-5290D90891A5}"/>
    <cellStyle name="40% - Accent4 2 2 3 3 3" xfId="13486" xr:uid="{1AB39C1D-AFCC-44E9-A521-44AE257DA47C}"/>
    <cellStyle name="40% - Accent4 2 2 3 4" xfId="17709" xr:uid="{D7F58113-67D5-4B00-87C9-4A2F8970B476}"/>
    <cellStyle name="40% - Accent4 2 2 3 5" xfId="9234" xr:uid="{EC5969B5-EC97-40A7-9CFF-F7D7484DA2D2}"/>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4485" xr:uid="{3368CDFD-E923-44B6-A98C-24E9E58CB19E}"/>
    <cellStyle name="40% - Accent4 2 2 4 2 2 3" xfId="16044" xr:uid="{D3A703F6-4899-4404-A437-39C3BF9B2306}"/>
    <cellStyle name="40% - Accent4 2 2 4 2 3" xfId="20267" xr:uid="{4D51CED1-492B-48EA-9C28-CD10D8F6980C}"/>
    <cellStyle name="40% - Accent4 2 2 4 2 4" xfId="11825" xr:uid="{5EC26AE5-94D2-4D7B-88B9-B9DAEFB00D99}"/>
    <cellStyle name="40% - Accent4 2 2 4 3" xfId="5405" xr:uid="{00000000-0005-0000-0000-0000BF050000}"/>
    <cellStyle name="40% - Accent4 2 2 4 3 2" xfId="22340" xr:uid="{79A79A4E-8A1A-4F4A-8961-B520E3DF4E28}"/>
    <cellStyle name="40% - Accent4 2 2 4 3 3" xfId="13899" xr:uid="{F37CDB70-F214-41A4-A724-A848182ED2E2}"/>
    <cellStyle name="40% - Accent4 2 2 4 4" xfId="18122" xr:uid="{0B4074D6-3EFF-4AF9-99EE-5F0BBE802A96}"/>
    <cellStyle name="40% - Accent4 2 2 4 5" xfId="9648" xr:uid="{CD4E9DEE-0C29-4CE4-80D9-56E4D55D8DFB}"/>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4898" xr:uid="{9A5BDB96-C508-409F-A9B4-9F8B4D9A35F4}"/>
    <cellStyle name="40% - Accent4 2 2 5 2 2 3" xfId="16457" xr:uid="{ABA98C5B-116F-4009-8997-8DC3D1CD5EAB}"/>
    <cellStyle name="40% - Accent4 2 2 5 2 3" xfId="20680" xr:uid="{2369FFEE-A84B-4AE4-9F88-D0669CB085D2}"/>
    <cellStyle name="40% - Accent4 2 2 5 2 4" xfId="12238" xr:uid="{AA13EA91-E1AC-4BCA-A97B-2A5CF68DCFD4}"/>
    <cellStyle name="40% - Accent4 2 2 5 3" xfId="5818" xr:uid="{00000000-0005-0000-0000-0000C3050000}"/>
    <cellStyle name="40% - Accent4 2 2 5 3 2" xfId="22753" xr:uid="{1C30AB7B-FD1B-4339-913B-7E8BBE96D250}"/>
    <cellStyle name="40% - Accent4 2 2 5 3 3" xfId="14312" xr:uid="{B017082E-9898-477E-97CE-19F1660F2E39}"/>
    <cellStyle name="40% - Accent4 2 2 5 4" xfId="18535" xr:uid="{59AFC957-E0A5-4BEE-9C2E-2B64DA379C8F}"/>
    <cellStyle name="40% - Accent4 2 2 5 5" xfId="10061" xr:uid="{E9753578-683A-4171-B6BA-5FA17CE9E420}"/>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5311" xr:uid="{83275F90-8D71-4E75-B4C8-5AD47732B114}"/>
    <cellStyle name="40% - Accent4 2 2 6 2 2 3" xfId="16870" xr:uid="{4B29624A-067A-44CE-A620-2689E5FB57B3}"/>
    <cellStyle name="40% - Accent4 2 2 6 2 3" xfId="21093" xr:uid="{B7738FC6-2C13-4698-B8CA-730EFB11C17A}"/>
    <cellStyle name="40% - Accent4 2 2 6 2 4" xfId="12651" xr:uid="{9A47CCBB-9568-41CF-99F4-F980FE363F4C}"/>
    <cellStyle name="40% - Accent4 2 2 6 3" xfId="6231" xr:uid="{00000000-0005-0000-0000-0000C7050000}"/>
    <cellStyle name="40% - Accent4 2 2 6 3 2" xfId="23166" xr:uid="{89AD0240-B057-4045-8D02-AE5FD0687D53}"/>
    <cellStyle name="40% - Accent4 2 2 6 3 3" xfId="14725" xr:uid="{36C5FBF2-310A-4277-A853-0F6D97D0003B}"/>
    <cellStyle name="40% - Accent4 2 2 6 4" xfId="18948" xr:uid="{B4F4CCB2-0243-4585-BE98-603E241EC561}"/>
    <cellStyle name="40% - Accent4 2 2 6 5" xfId="10474" xr:uid="{FF74D197-B4AC-4F9E-B6EE-753BDBCEDEAC}"/>
    <cellStyle name="40% - Accent4 2 2 7" xfId="2338" xr:uid="{00000000-0005-0000-0000-0000C8050000}"/>
    <cellStyle name="40% - Accent4 2 2 7 2" xfId="6644" xr:uid="{00000000-0005-0000-0000-0000C9050000}"/>
    <cellStyle name="40% - Accent4 2 2 7 2 2" xfId="23579" xr:uid="{8B5BBEB5-8DD6-462C-978B-8E2933F3D6E7}"/>
    <cellStyle name="40% - Accent4 2 2 7 2 3" xfId="15138" xr:uid="{E0E06656-ED14-426B-9633-73385E1D3F51}"/>
    <cellStyle name="40% - Accent4 2 2 7 3" xfId="19361" xr:uid="{C8A6B5B1-9E9E-4B9F-8D92-8C23C26D51B3}"/>
    <cellStyle name="40% - Accent4 2 2 7 4" xfId="10887" xr:uid="{7CD38DAE-38F8-49A6-B44A-5211E5E5A9B0}"/>
    <cellStyle name="40% - Accent4 2 2 8" xfId="4578" xr:uid="{00000000-0005-0000-0000-0000CA050000}"/>
    <cellStyle name="40% - Accent4 2 2 8 2" xfId="21513" xr:uid="{C017B6CB-05ED-408F-995B-A474D7475EAE}"/>
    <cellStyle name="40% - Accent4 2 2 8 3" xfId="13072" xr:uid="{97FDB4BE-E27A-4070-AFC9-FD7B232F11B3}"/>
    <cellStyle name="40% - Accent4 2 2 9" xfId="17295" xr:uid="{CF0F58FB-82B4-4957-9BF1-15CEDF54A399}"/>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074" xr:uid="{98DE1BD7-9FD7-406B-ADBA-D6DCEDC86041}"/>
    <cellStyle name="40% - Accent4 2 3 2 2 2 3" xfId="15633" xr:uid="{4F33A755-C7A7-4036-BD3F-AF580541DC98}"/>
    <cellStyle name="40% - Accent4 2 3 2 2 3" xfId="19856" xr:uid="{15904FF9-56CC-4BE4-B608-39461217B29F}"/>
    <cellStyle name="40% - Accent4 2 3 2 2 4" xfId="11414" xr:uid="{839B32AA-2A11-4CA3-B114-35308077971E}"/>
    <cellStyle name="40% - Accent4 2 3 2 3" xfId="4994" xr:uid="{00000000-0005-0000-0000-0000CF050000}"/>
    <cellStyle name="40% - Accent4 2 3 2 3 2" xfId="21929" xr:uid="{9C71BFBE-BD1C-4112-A02D-A4795586459F}"/>
    <cellStyle name="40% - Accent4 2 3 2 3 3" xfId="13488" xr:uid="{F3050A87-B96C-4F33-A5AD-20FDA99A52C6}"/>
    <cellStyle name="40% - Accent4 2 3 2 4" xfId="17711" xr:uid="{B52A5863-E5D2-47F9-B4B4-F36F6572B751}"/>
    <cellStyle name="40% - Accent4 2 3 2 5" xfId="9236" xr:uid="{C11F4EE3-79DE-4633-9FBE-89084E9BAC5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4487" xr:uid="{07992260-9FFC-4D30-A590-D6FFDC57C4B2}"/>
    <cellStyle name="40% - Accent4 2 3 3 2 2 3" xfId="16046" xr:uid="{63FDFAF4-FD5A-44E4-B86B-56F8AFC200F1}"/>
    <cellStyle name="40% - Accent4 2 3 3 2 3" xfId="20269" xr:uid="{F039893F-E427-4124-BF99-9E15B022D3A9}"/>
    <cellStyle name="40% - Accent4 2 3 3 2 4" xfId="11827" xr:uid="{6A9C1C4A-6C99-4CFE-A6EB-80CFF333D433}"/>
    <cellStyle name="40% - Accent4 2 3 3 3" xfId="5407" xr:uid="{00000000-0005-0000-0000-0000D3050000}"/>
    <cellStyle name="40% - Accent4 2 3 3 3 2" xfId="22342" xr:uid="{8383534E-87C2-41EF-9478-D9A7A2E51BD3}"/>
    <cellStyle name="40% - Accent4 2 3 3 3 3" xfId="13901" xr:uid="{5228C846-5949-4AAB-9DC7-651EB8C74FE2}"/>
    <cellStyle name="40% - Accent4 2 3 3 4" xfId="18124" xr:uid="{F2A64752-27EC-4C0B-8AD4-D7A1E040DC0D}"/>
    <cellStyle name="40% - Accent4 2 3 3 5" xfId="9650" xr:uid="{DD8C040A-BB52-4370-A79D-9C79CD4AD081}"/>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4900" xr:uid="{9310A7CF-8466-47AC-B075-FC4931F6139E}"/>
    <cellStyle name="40% - Accent4 2 3 4 2 2 3" xfId="16459" xr:uid="{1CBC7F73-CE0A-42B8-BBE0-1C573B82D24B}"/>
    <cellStyle name="40% - Accent4 2 3 4 2 3" xfId="20682" xr:uid="{2F60C08C-AF29-44BA-B202-08C1E7EC5877}"/>
    <cellStyle name="40% - Accent4 2 3 4 2 4" xfId="12240" xr:uid="{C3569A08-4B30-4947-AF3D-5952EEE23E86}"/>
    <cellStyle name="40% - Accent4 2 3 4 3" xfId="5820" xr:uid="{00000000-0005-0000-0000-0000D7050000}"/>
    <cellStyle name="40% - Accent4 2 3 4 3 2" xfId="22755" xr:uid="{8563F0DF-ED79-4CCF-B1A6-1298ACD00417}"/>
    <cellStyle name="40% - Accent4 2 3 4 3 3" xfId="14314" xr:uid="{03CAB9E6-2009-42DC-8C19-D2D117F059D6}"/>
    <cellStyle name="40% - Accent4 2 3 4 4" xfId="18537" xr:uid="{37A7E0EC-7B8B-4388-849A-45E2BA38FE67}"/>
    <cellStyle name="40% - Accent4 2 3 4 5" xfId="10063" xr:uid="{2638A46E-6C5E-422A-99E4-72B3EC72564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5313" xr:uid="{BE9600BB-2C81-482E-AF93-B981FF659823}"/>
    <cellStyle name="40% - Accent4 2 3 5 2 2 3" xfId="16872" xr:uid="{0367A58A-3427-4FB3-8F20-B1A19A379889}"/>
    <cellStyle name="40% - Accent4 2 3 5 2 3" xfId="21095" xr:uid="{0A1ECEB7-ABFF-41B3-8D63-43A403D2B850}"/>
    <cellStyle name="40% - Accent4 2 3 5 2 4" xfId="12653" xr:uid="{6072E887-553D-456D-9300-1E06048EE27F}"/>
    <cellStyle name="40% - Accent4 2 3 5 3" xfId="6233" xr:uid="{00000000-0005-0000-0000-0000DB050000}"/>
    <cellStyle name="40% - Accent4 2 3 5 3 2" xfId="23168" xr:uid="{97535AF7-18E3-43E3-8228-959AC24B7129}"/>
    <cellStyle name="40% - Accent4 2 3 5 3 3" xfId="14727" xr:uid="{00B84994-96D7-4DB8-85A7-A4AF93685385}"/>
    <cellStyle name="40% - Accent4 2 3 5 4" xfId="18950" xr:uid="{1B4140DE-20EE-47C6-BB6D-F10BF20CFD4F}"/>
    <cellStyle name="40% - Accent4 2 3 5 5" xfId="10476" xr:uid="{97602288-4AA2-4251-98CA-459B7A11F4BE}"/>
    <cellStyle name="40% - Accent4 2 3 6" xfId="2340" xr:uid="{00000000-0005-0000-0000-0000DC050000}"/>
    <cellStyle name="40% - Accent4 2 3 6 2" xfId="6646" xr:uid="{00000000-0005-0000-0000-0000DD050000}"/>
    <cellStyle name="40% - Accent4 2 3 6 2 2" xfId="23581" xr:uid="{3794A034-14A3-4040-8219-4BBE80291183}"/>
    <cellStyle name="40% - Accent4 2 3 6 2 3" xfId="15140" xr:uid="{586A26AA-9F7A-4405-98D8-853B0697C3EF}"/>
    <cellStyle name="40% - Accent4 2 3 6 3" xfId="19363" xr:uid="{64B3AF35-D396-4ACF-8ECA-8263FAB6554C}"/>
    <cellStyle name="40% - Accent4 2 3 6 4" xfId="10889" xr:uid="{C2835493-5C3F-4A9E-AA4B-C1B3848B9C84}"/>
    <cellStyle name="40% - Accent4 2 3 7" xfId="4580" xr:uid="{00000000-0005-0000-0000-0000DE050000}"/>
    <cellStyle name="40% - Accent4 2 3 7 2" xfId="21515" xr:uid="{E089452C-99A6-4ECA-A2B0-D0580071736F}"/>
    <cellStyle name="40% - Accent4 2 3 7 3" xfId="13074" xr:uid="{DB63C91A-0A5A-4580-856A-CF80A97EE825}"/>
    <cellStyle name="40% - Accent4 2 3 8" xfId="17297" xr:uid="{4D936792-7294-4E22-B297-809C41266798}"/>
    <cellStyle name="40% - Accent4 2 3 9" xfId="8812" xr:uid="{15BABE28-E11D-4C83-AD3F-8716300694E9}"/>
    <cellStyle name="40% - Accent4 2 4" xfId="643" xr:uid="{00000000-0005-0000-0000-0000DF050000}"/>
    <cellStyle name="40% - Accent4 2 4 2" xfId="2914" xr:uid="{00000000-0005-0000-0000-0000E0050000}"/>
    <cellStyle name="40% - Accent4 2 4 2 2" xfId="7136" xr:uid="{00000000-0005-0000-0000-0000E1050000}"/>
    <cellStyle name="40% - Accent4 2 4 2 2 2" xfId="24071" xr:uid="{333560BC-CD61-4905-9E18-1D894714AE93}"/>
    <cellStyle name="40% - Accent4 2 4 2 2 3" xfId="15630" xr:uid="{29FAF687-3370-4259-9F1A-B5233B73AFDA}"/>
    <cellStyle name="40% - Accent4 2 4 2 3" xfId="19853" xr:uid="{24D58B6A-F2E6-4633-AF58-1C589F3462E4}"/>
    <cellStyle name="40% - Accent4 2 4 2 4" xfId="11411" xr:uid="{9C71238D-3ECB-4284-A6BE-7E2BE5F040ED}"/>
    <cellStyle name="40% - Accent4 2 4 3" xfId="4991" xr:uid="{00000000-0005-0000-0000-0000E2050000}"/>
    <cellStyle name="40% - Accent4 2 4 3 2" xfId="21926" xr:uid="{EB11DCE9-EA1B-4E33-82B7-53957A718818}"/>
    <cellStyle name="40% - Accent4 2 4 3 3" xfId="13485" xr:uid="{F7BAE8B3-ED94-4BE8-9C67-0E6036AD04DD}"/>
    <cellStyle name="40% - Accent4 2 4 4" xfId="17708" xr:uid="{32C2F69D-DEC9-4C32-A321-05AE50778C82}"/>
    <cellStyle name="40% - Accent4 2 4 5" xfId="9233" xr:uid="{F58E1F3D-8156-4FBF-9536-18E900E99550}"/>
    <cellStyle name="40% - Accent4 2 5" xfId="1096" xr:uid="{00000000-0005-0000-0000-0000E3050000}"/>
    <cellStyle name="40% - Accent4 2 5 2" xfId="3327" xr:uid="{00000000-0005-0000-0000-0000E4050000}"/>
    <cellStyle name="40% - Accent4 2 5 2 2" xfId="7549" xr:uid="{00000000-0005-0000-0000-0000E5050000}"/>
    <cellStyle name="40% - Accent4 2 5 2 2 2" xfId="24484" xr:uid="{847F89A8-EA4E-4DA1-8161-B3B7AC4902BC}"/>
    <cellStyle name="40% - Accent4 2 5 2 2 3" xfId="16043" xr:uid="{F919966C-8E81-447F-8BD3-07083E8334A4}"/>
    <cellStyle name="40% - Accent4 2 5 2 3" xfId="20266" xr:uid="{916AF34A-6E01-4A57-9BAB-C13052943345}"/>
    <cellStyle name="40% - Accent4 2 5 2 4" xfId="11824" xr:uid="{506743DE-0FD1-4095-8568-04422756B183}"/>
    <cellStyle name="40% - Accent4 2 5 3" xfId="5404" xr:uid="{00000000-0005-0000-0000-0000E6050000}"/>
    <cellStyle name="40% - Accent4 2 5 3 2" xfId="22339" xr:uid="{28D1583D-EF66-441B-B02C-F9FA84D34E50}"/>
    <cellStyle name="40% - Accent4 2 5 3 3" xfId="13898" xr:uid="{80D1BC8D-7A8B-4576-AAD9-E2A19D095827}"/>
    <cellStyle name="40% - Accent4 2 5 4" xfId="18121" xr:uid="{1247EECC-7D4E-4C28-A0BA-DBF7D1CA0EE0}"/>
    <cellStyle name="40% - Accent4 2 5 5" xfId="9647" xr:uid="{A444628E-0ED9-47B6-8E1B-2C383FE15952}"/>
    <cellStyle name="40% - Accent4 2 6" xfId="1510" xr:uid="{00000000-0005-0000-0000-0000E7050000}"/>
    <cellStyle name="40% - Accent4 2 6 2" xfId="3740" xr:uid="{00000000-0005-0000-0000-0000E8050000}"/>
    <cellStyle name="40% - Accent4 2 6 2 2" xfId="7962" xr:uid="{00000000-0005-0000-0000-0000E9050000}"/>
    <cellStyle name="40% - Accent4 2 6 2 2 2" xfId="24897" xr:uid="{9BC044E8-FB4C-4831-B4FE-C42C1B430B50}"/>
    <cellStyle name="40% - Accent4 2 6 2 2 3" xfId="16456" xr:uid="{6B73B084-7BE2-4C2C-B3AF-2CB629808218}"/>
    <cellStyle name="40% - Accent4 2 6 2 3" xfId="20679" xr:uid="{628830CC-A859-41AA-885E-3A6E3475AE52}"/>
    <cellStyle name="40% - Accent4 2 6 2 4" xfId="12237" xr:uid="{48090B4D-8C2B-4D05-B077-4BE564D85AE8}"/>
    <cellStyle name="40% - Accent4 2 6 3" xfId="5817" xr:uid="{00000000-0005-0000-0000-0000EA050000}"/>
    <cellStyle name="40% - Accent4 2 6 3 2" xfId="22752" xr:uid="{0F6AFB70-73CE-420E-90F8-12D933B335D7}"/>
    <cellStyle name="40% - Accent4 2 6 3 3" xfId="14311" xr:uid="{E3D51AE1-4DE6-43D5-85D4-D4EC9D51D27D}"/>
    <cellStyle name="40% - Accent4 2 6 4" xfId="18534" xr:uid="{0E4CEFF0-AD02-4703-BBA9-8B35CDD488DF}"/>
    <cellStyle name="40% - Accent4 2 6 5" xfId="10060" xr:uid="{2C75CAF0-1E32-4A04-A382-0E1B8D13891F}"/>
    <cellStyle name="40% - Accent4 2 7" xfId="1924" xr:uid="{00000000-0005-0000-0000-0000EB050000}"/>
    <cellStyle name="40% - Accent4 2 7 2" xfId="4153" xr:uid="{00000000-0005-0000-0000-0000EC050000}"/>
    <cellStyle name="40% - Accent4 2 7 2 2" xfId="8375" xr:uid="{00000000-0005-0000-0000-0000ED050000}"/>
    <cellStyle name="40% - Accent4 2 7 2 2 2" xfId="25310" xr:uid="{82BEC2E0-356B-4396-B939-3E481A9B5053}"/>
    <cellStyle name="40% - Accent4 2 7 2 2 3" xfId="16869" xr:uid="{77FC0B5F-17D6-434A-A762-FC7AAEE80200}"/>
    <cellStyle name="40% - Accent4 2 7 2 3" xfId="21092" xr:uid="{C64381C6-E25A-4FF3-91CC-9C1C12199731}"/>
    <cellStyle name="40% - Accent4 2 7 2 4" xfId="12650" xr:uid="{5088FFDB-BCDD-4870-9EDC-2A28A870B5D1}"/>
    <cellStyle name="40% - Accent4 2 7 3" xfId="6230" xr:uid="{00000000-0005-0000-0000-0000EE050000}"/>
    <cellStyle name="40% - Accent4 2 7 3 2" xfId="23165" xr:uid="{3983EFA5-6B50-47D0-AC28-80EA838AB8C9}"/>
    <cellStyle name="40% - Accent4 2 7 3 3" xfId="14724" xr:uid="{5C421A00-360D-46B4-8458-B2931232A868}"/>
    <cellStyle name="40% - Accent4 2 7 4" xfId="18947" xr:uid="{E2392EDD-615B-46C9-A5B4-E179C9EBC985}"/>
    <cellStyle name="40% - Accent4 2 7 5" xfId="10473" xr:uid="{2B23A31C-8233-4388-B641-90513FEEF548}"/>
    <cellStyle name="40% - Accent4 2 8" xfId="2337" xr:uid="{00000000-0005-0000-0000-0000EF050000}"/>
    <cellStyle name="40% - Accent4 2 8 2" xfId="6643" xr:uid="{00000000-0005-0000-0000-0000F0050000}"/>
    <cellStyle name="40% - Accent4 2 8 2 2" xfId="23578" xr:uid="{FC62F365-A9F8-4EB7-BFF0-203934552DAD}"/>
    <cellStyle name="40% - Accent4 2 8 2 3" xfId="15137" xr:uid="{7F39EE3F-2795-4A23-BBFF-FFE0844BA7D4}"/>
    <cellStyle name="40% - Accent4 2 8 3" xfId="19360" xr:uid="{52618CFD-55B1-4663-A4D7-6731FADE74D7}"/>
    <cellStyle name="40% - Accent4 2 8 4" xfId="10886" xr:uid="{5353982D-0BDC-42CE-8D91-6AE9874E510A}"/>
    <cellStyle name="40% - Accent4 2 9" xfId="4577" xr:uid="{00000000-0005-0000-0000-0000F1050000}"/>
    <cellStyle name="40% - Accent4 2 9 2" xfId="21512" xr:uid="{FC5E4E51-C872-4F47-99D7-FE86B51769BC}"/>
    <cellStyle name="40% - Accent4 2 9 3" xfId="13071" xr:uid="{60D774BC-7E33-4910-8699-A30CE5484D45}"/>
    <cellStyle name="40% - Accent4 3" xfId="78" xr:uid="{00000000-0005-0000-0000-0000F2050000}"/>
    <cellStyle name="40% - Accent4 3 10" xfId="8813" xr:uid="{49DE22A2-721D-40F6-99A8-685B38BCEA38}"/>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076" xr:uid="{55445A6A-592D-42D5-ABB4-35D7D33E6BEA}"/>
    <cellStyle name="40% - Accent4 3 2 2 2 2 3" xfId="15635" xr:uid="{4FFE1F3B-59D7-4760-A739-EEE9E4434C82}"/>
    <cellStyle name="40% - Accent4 3 2 2 2 3" xfId="19858" xr:uid="{50677E7B-6C6D-4679-B617-3FD14586B4BD}"/>
    <cellStyle name="40% - Accent4 3 2 2 2 4" xfId="11416" xr:uid="{E1F4BEA4-277B-4FEC-870C-02E859EACA6A}"/>
    <cellStyle name="40% - Accent4 3 2 2 3" xfId="4996" xr:uid="{00000000-0005-0000-0000-0000F7050000}"/>
    <cellStyle name="40% - Accent4 3 2 2 3 2" xfId="21931" xr:uid="{5D3F892F-8D88-4DF0-95E4-C3D8F109234D}"/>
    <cellStyle name="40% - Accent4 3 2 2 3 3" xfId="13490" xr:uid="{AFD7551D-2A11-45DC-B5F5-7B9EA7C54DEC}"/>
    <cellStyle name="40% - Accent4 3 2 2 4" xfId="17713" xr:uid="{B92C0B66-A5FF-4954-8548-39688F31D559}"/>
    <cellStyle name="40% - Accent4 3 2 2 5" xfId="9238" xr:uid="{7A3F61D6-328F-4282-909B-BC724B3708C1}"/>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4489" xr:uid="{F1D08144-B438-4C2E-B5F0-7B41C57824F0}"/>
    <cellStyle name="40% - Accent4 3 2 3 2 2 3" xfId="16048" xr:uid="{A6C3ACC0-D736-43A7-B40B-7B4D44F2358F}"/>
    <cellStyle name="40% - Accent4 3 2 3 2 3" xfId="20271" xr:uid="{FD850191-B673-4F22-9070-FDCFD1A8A367}"/>
    <cellStyle name="40% - Accent4 3 2 3 2 4" xfId="11829" xr:uid="{3A911CE2-9801-4F5A-BC4A-25D63896CB62}"/>
    <cellStyle name="40% - Accent4 3 2 3 3" xfId="5409" xr:uid="{00000000-0005-0000-0000-0000FB050000}"/>
    <cellStyle name="40% - Accent4 3 2 3 3 2" xfId="22344" xr:uid="{0BED7914-B59B-47B6-80FB-D5318D982D8D}"/>
    <cellStyle name="40% - Accent4 3 2 3 3 3" xfId="13903" xr:uid="{45F0F954-F4B0-40BA-AF31-556FC6720DF4}"/>
    <cellStyle name="40% - Accent4 3 2 3 4" xfId="18126" xr:uid="{761CE5EF-A5B7-4DA7-80FF-0BC40A97587B}"/>
    <cellStyle name="40% - Accent4 3 2 3 5" xfId="9652" xr:uid="{F6260630-AB82-473E-A30C-8BBE9A2F7E63}"/>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4902" xr:uid="{01C446FE-A6B8-4968-8F03-E49DAFF9D9DB}"/>
    <cellStyle name="40% - Accent4 3 2 4 2 2 3" xfId="16461" xr:uid="{88348D3B-4BEB-420E-9612-3D24B128EE6D}"/>
    <cellStyle name="40% - Accent4 3 2 4 2 3" xfId="20684" xr:uid="{251920A4-B2CD-49CE-8EAA-863479598411}"/>
    <cellStyle name="40% - Accent4 3 2 4 2 4" xfId="12242" xr:uid="{DEC4C3BF-A00D-4A74-8C40-B195BD2C9B64}"/>
    <cellStyle name="40% - Accent4 3 2 4 3" xfId="5822" xr:uid="{00000000-0005-0000-0000-0000FF050000}"/>
    <cellStyle name="40% - Accent4 3 2 4 3 2" xfId="22757" xr:uid="{2CD7E0F9-9FE6-43F5-A903-EA82A22B5486}"/>
    <cellStyle name="40% - Accent4 3 2 4 3 3" xfId="14316" xr:uid="{4412D0A3-1FA4-4144-8DF9-E2F98906484A}"/>
    <cellStyle name="40% - Accent4 3 2 4 4" xfId="18539" xr:uid="{447FB125-392F-4ED5-B61A-2CD9CD8045EE}"/>
    <cellStyle name="40% - Accent4 3 2 4 5" xfId="10065" xr:uid="{42DE7101-28F8-4DB1-98DD-97D1ABA81BC2}"/>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5315" xr:uid="{AFEDA2C0-9E93-48D9-8A8C-F9E464B6749A}"/>
    <cellStyle name="40% - Accent4 3 2 5 2 2 3" xfId="16874" xr:uid="{83F85AA5-926A-43C7-8118-1F2227B6334A}"/>
    <cellStyle name="40% - Accent4 3 2 5 2 3" xfId="21097" xr:uid="{B78E7A16-B778-4B89-A4C7-91B5307EFED8}"/>
    <cellStyle name="40% - Accent4 3 2 5 2 4" xfId="12655" xr:uid="{8AA249F7-5B9B-4CDF-9DCC-BDE6F97CA186}"/>
    <cellStyle name="40% - Accent4 3 2 5 3" xfId="6235" xr:uid="{00000000-0005-0000-0000-000003060000}"/>
    <cellStyle name="40% - Accent4 3 2 5 3 2" xfId="23170" xr:uid="{9E299C65-FE36-4113-9157-EB1EEC072FC6}"/>
    <cellStyle name="40% - Accent4 3 2 5 3 3" xfId="14729" xr:uid="{9D10FF31-FEBF-41FD-8BF4-FEB1BCF2FE53}"/>
    <cellStyle name="40% - Accent4 3 2 5 4" xfId="18952" xr:uid="{88887D8F-E1D5-4977-B3A8-FDF68A61C20C}"/>
    <cellStyle name="40% - Accent4 3 2 5 5" xfId="10478" xr:uid="{86D51AD4-908F-4252-AEA0-A011FD933B7D}"/>
    <cellStyle name="40% - Accent4 3 2 6" xfId="2342" xr:uid="{00000000-0005-0000-0000-000004060000}"/>
    <cellStyle name="40% - Accent4 3 2 6 2" xfId="6648" xr:uid="{00000000-0005-0000-0000-000005060000}"/>
    <cellStyle name="40% - Accent4 3 2 6 2 2" xfId="23583" xr:uid="{CDEA1A2A-A12A-4205-B2B1-7F9CE1E8C853}"/>
    <cellStyle name="40% - Accent4 3 2 6 2 3" xfId="15142" xr:uid="{5F54C4E5-61B2-4C44-A37A-4B8BB58E2DB5}"/>
    <cellStyle name="40% - Accent4 3 2 6 3" xfId="19365" xr:uid="{9AA7C945-CC7D-49FF-A48B-83333277CD65}"/>
    <cellStyle name="40% - Accent4 3 2 6 4" xfId="10891" xr:uid="{9BE2B31B-80F8-4C35-AAD3-A9B124384321}"/>
    <cellStyle name="40% - Accent4 3 2 7" xfId="4582" xr:uid="{00000000-0005-0000-0000-000006060000}"/>
    <cellStyle name="40% - Accent4 3 2 7 2" xfId="21517" xr:uid="{1E4D97E9-8542-4FA4-BA04-9043DEC5C01E}"/>
    <cellStyle name="40% - Accent4 3 2 7 3" xfId="13076" xr:uid="{DE62EEBC-1D45-46F5-8D6A-A33AA5421E6D}"/>
    <cellStyle name="40% - Accent4 3 2 8" xfId="17299" xr:uid="{91652978-AEF7-4AEC-A319-43BC31B9BFDD}"/>
    <cellStyle name="40% - Accent4 3 2 9" xfId="8814" xr:uid="{FCEA7818-14B6-480A-9082-4F1986E3B13A}"/>
    <cellStyle name="40% - Accent4 3 3" xfId="647" xr:uid="{00000000-0005-0000-0000-000007060000}"/>
    <cellStyle name="40% - Accent4 3 3 2" xfId="2918" xr:uid="{00000000-0005-0000-0000-000008060000}"/>
    <cellStyle name="40% - Accent4 3 3 2 2" xfId="7140" xr:uid="{00000000-0005-0000-0000-000009060000}"/>
    <cellStyle name="40% - Accent4 3 3 2 2 2" xfId="24075" xr:uid="{303CF449-99C4-4774-B0CA-82EB4B53229E}"/>
    <cellStyle name="40% - Accent4 3 3 2 2 3" xfId="15634" xr:uid="{1F1BB506-50B0-4D95-92AB-8DCBFAE282A0}"/>
    <cellStyle name="40% - Accent4 3 3 2 3" xfId="19857" xr:uid="{79C584D5-05AC-4D27-8F57-F990E22A3CBB}"/>
    <cellStyle name="40% - Accent4 3 3 2 4" xfId="11415" xr:uid="{FFEAF087-3CC2-43F2-92C0-A5D6599CBC30}"/>
    <cellStyle name="40% - Accent4 3 3 3" xfId="4995" xr:uid="{00000000-0005-0000-0000-00000A060000}"/>
    <cellStyle name="40% - Accent4 3 3 3 2" xfId="21930" xr:uid="{96E733BD-CBEE-4BA6-BC3B-F524094FD6FA}"/>
    <cellStyle name="40% - Accent4 3 3 3 3" xfId="13489" xr:uid="{909A3DC5-D4DE-4434-9B43-79B6E1560B8B}"/>
    <cellStyle name="40% - Accent4 3 3 4" xfId="17712" xr:uid="{83C71683-1095-4E86-A9BD-22A9A4DABDA5}"/>
    <cellStyle name="40% - Accent4 3 3 5" xfId="9237" xr:uid="{12878BAE-0FC6-4BC4-978F-582EF93E11DE}"/>
    <cellStyle name="40% - Accent4 3 4" xfId="1100" xr:uid="{00000000-0005-0000-0000-00000B060000}"/>
    <cellStyle name="40% - Accent4 3 4 2" xfId="3331" xr:uid="{00000000-0005-0000-0000-00000C060000}"/>
    <cellStyle name="40% - Accent4 3 4 2 2" xfId="7553" xr:uid="{00000000-0005-0000-0000-00000D060000}"/>
    <cellStyle name="40% - Accent4 3 4 2 2 2" xfId="24488" xr:uid="{6DB0FEA7-50A9-47F4-9F75-19E4E8ABB49E}"/>
    <cellStyle name="40% - Accent4 3 4 2 2 3" xfId="16047" xr:uid="{D5453D7E-1CEE-4ECF-AB20-7FF88DBDDA7E}"/>
    <cellStyle name="40% - Accent4 3 4 2 3" xfId="20270" xr:uid="{6221C94E-C8C9-4489-B195-9A9E4FBFA90D}"/>
    <cellStyle name="40% - Accent4 3 4 2 4" xfId="11828" xr:uid="{66E6B833-7F9A-4DAE-9A46-31CCF828B097}"/>
    <cellStyle name="40% - Accent4 3 4 3" xfId="5408" xr:uid="{00000000-0005-0000-0000-00000E060000}"/>
    <cellStyle name="40% - Accent4 3 4 3 2" xfId="22343" xr:uid="{7A3AEA7B-2639-4C7F-A992-27CCC84D8F0A}"/>
    <cellStyle name="40% - Accent4 3 4 3 3" xfId="13902" xr:uid="{B1604126-5255-4A6A-B6F0-313EC01B260C}"/>
    <cellStyle name="40% - Accent4 3 4 4" xfId="18125" xr:uid="{BE73DF72-6EEB-4579-8F78-6479925DB8D0}"/>
    <cellStyle name="40% - Accent4 3 4 5" xfId="9651" xr:uid="{CEA228AD-BF06-4110-A445-14E4FB50198E}"/>
    <cellStyle name="40% - Accent4 3 5" xfId="1514" xr:uid="{00000000-0005-0000-0000-00000F060000}"/>
    <cellStyle name="40% - Accent4 3 5 2" xfId="3744" xr:uid="{00000000-0005-0000-0000-000010060000}"/>
    <cellStyle name="40% - Accent4 3 5 2 2" xfId="7966" xr:uid="{00000000-0005-0000-0000-000011060000}"/>
    <cellStyle name="40% - Accent4 3 5 2 2 2" xfId="24901" xr:uid="{33D68DBF-0226-4029-8BDD-E408F4F8F53A}"/>
    <cellStyle name="40% - Accent4 3 5 2 2 3" xfId="16460" xr:uid="{49A9051E-0B09-4EA5-9CA8-5F2E42306DE1}"/>
    <cellStyle name="40% - Accent4 3 5 2 3" xfId="20683" xr:uid="{CB034954-E58B-4E34-91FA-E9572553F77C}"/>
    <cellStyle name="40% - Accent4 3 5 2 4" xfId="12241" xr:uid="{2DADFCAE-94E4-446C-9D69-AACDEC2AA95F}"/>
    <cellStyle name="40% - Accent4 3 5 3" xfId="5821" xr:uid="{00000000-0005-0000-0000-000012060000}"/>
    <cellStyle name="40% - Accent4 3 5 3 2" xfId="22756" xr:uid="{AF2AEC1A-2239-42AE-9240-57C4CB1FD5C9}"/>
    <cellStyle name="40% - Accent4 3 5 3 3" xfId="14315" xr:uid="{CDC885CA-C565-468D-9E85-663AB924D022}"/>
    <cellStyle name="40% - Accent4 3 5 4" xfId="18538" xr:uid="{8A34B4CB-66D2-44EE-B7CA-45B8A3C6B61D}"/>
    <cellStyle name="40% - Accent4 3 5 5" xfId="10064" xr:uid="{A6619C63-8EEC-4278-BE51-23ED87D26F3E}"/>
    <cellStyle name="40% - Accent4 3 6" xfId="1928" xr:uid="{00000000-0005-0000-0000-000013060000}"/>
    <cellStyle name="40% - Accent4 3 6 2" xfId="4157" xr:uid="{00000000-0005-0000-0000-000014060000}"/>
    <cellStyle name="40% - Accent4 3 6 2 2" xfId="8379" xr:uid="{00000000-0005-0000-0000-000015060000}"/>
    <cellStyle name="40% - Accent4 3 6 2 2 2" xfId="25314" xr:uid="{3434B07E-0982-49B8-8F07-6021C25C7104}"/>
    <cellStyle name="40% - Accent4 3 6 2 2 3" xfId="16873" xr:uid="{44056FB4-79D4-479B-85DC-74A936516FF3}"/>
    <cellStyle name="40% - Accent4 3 6 2 3" xfId="21096" xr:uid="{2A53F9A1-73EF-412E-BD34-BA4AA566E0BF}"/>
    <cellStyle name="40% - Accent4 3 6 2 4" xfId="12654" xr:uid="{8B380C1B-BE35-4AB8-BE4E-C9E4570B6386}"/>
    <cellStyle name="40% - Accent4 3 6 3" xfId="6234" xr:uid="{00000000-0005-0000-0000-000016060000}"/>
    <cellStyle name="40% - Accent4 3 6 3 2" xfId="23169" xr:uid="{97AE2FE3-27FC-4CD0-84F8-B6DCDBCD837F}"/>
    <cellStyle name="40% - Accent4 3 6 3 3" xfId="14728" xr:uid="{56869076-62AD-452E-A1EA-E5580F61B9B7}"/>
    <cellStyle name="40% - Accent4 3 6 4" xfId="18951" xr:uid="{D7104771-6E48-46EB-AA70-D267A2A02CD8}"/>
    <cellStyle name="40% - Accent4 3 6 5" xfId="10477" xr:uid="{27A3297F-61A3-40FC-A271-E083F7080D9D}"/>
    <cellStyle name="40% - Accent4 3 7" xfId="2341" xr:uid="{00000000-0005-0000-0000-000017060000}"/>
    <cellStyle name="40% - Accent4 3 7 2" xfId="6647" xr:uid="{00000000-0005-0000-0000-000018060000}"/>
    <cellStyle name="40% - Accent4 3 7 2 2" xfId="23582" xr:uid="{2C2132D3-42B2-456D-BED4-12D88A8756CC}"/>
    <cellStyle name="40% - Accent4 3 7 2 3" xfId="15141" xr:uid="{1B5399FC-17F8-44BD-915F-AC44AC6DF909}"/>
    <cellStyle name="40% - Accent4 3 7 3" xfId="19364" xr:uid="{5E9FD123-093B-4BFF-851E-DC97BDE13DEC}"/>
    <cellStyle name="40% - Accent4 3 7 4" xfId="10890" xr:uid="{5BD00ED6-D3D5-49D2-B9BA-40597445207C}"/>
    <cellStyle name="40% - Accent4 3 8" xfId="4581" xr:uid="{00000000-0005-0000-0000-000019060000}"/>
    <cellStyle name="40% - Accent4 3 8 2" xfId="21516" xr:uid="{6C48EA54-452B-4073-80BF-C411C2AB9FF8}"/>
    <cellStyle name="40% - Accent4 3 8 3" xfId="13075" xr:uid="{FE89BBE1-5743-4186-9EE0-BAC71E086576}"/>
    <cellStyle name="40% - Accent4 3 9" xfId="17298" xr:uid="{21BDE364-F406-4980-A834-60EE84333227}"/>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24077" xr:uid="{824F6585-62D5-458F-A3A5-655F6FE0FDCA}"/>
    <cellStyle name="40% - Accent4 4 2 2 2 3" xfId="15636" xr:uid="{237B29F8-4FD8-4203-AD86-28F46D80F944}"/>
    <cellStyle name="40% - Accent4 4 2 2 3" xfId="19859" xr:uid="{F8D8591C-65CF-4A5C-B3E6-BA10901685AA}"/>
    <cellStyle name="40% - Accent4 4 2 2 4" xfId="11417" xr:uid="{6E566B5C-84E4-4EB2-B907-87559D132D32}"/>
    <cellStyle name="40% - Accent4 4 2 3" xfId="4997" xr:uid="{00000000-0005-0000-0000-00001E060000}"/>
    <cellStyle name="40% - Accent4 4 2 3 2" xfId="21932" xr:uid="{0894D3D1-74C2-4416-A30C-87EA6D68F593}"/>
    <cellStyle name="40% - Accent4 4 2 3 3" xfId="13491" xr:uid="{E7FFE5C9-1D73-4B8C-8A9A-28A3F1E1A6B1}"/>
    <cellStyle name="40% - Accent4 4 2 4" xfId="17714" xr:uid="{302CF635-0F1D-44D3-BEDF-0E62C0DE677E}"/>
    <cellStyle name="40% - Accent4 4 2 5" xfId="9239" xr:uid="{4BF5FC36-A30F-49FD-A03E-E8C0FF1D5717}"/>
    <cellStyle name="40% - Accent4 4 3" xfId="1102" xr:uid="{00000000-0005-0000-0000-00001F060000}"/>
    <cellStyle name="40% - Accent4 4 3 2" xfId="3333" xr:uid="{00000000-0005-0000-0000-000020060000}"/>
    <cellStyle name="40% - Accent4 4 3 2 2" xfId="7555" xr:uid="{00000000-0005-0000-0000-000021060000}"/>
    <cellStyle name="40% - Accent4 4 3 2 2 2" xfId="24490" xr:uid="{3DC087A7-24D1-4FB6-80B3-A8BF5EF78ACC}"/>
    <cellStyle name="40% - Accent4 4 3 2 2 3" xfId="16049" xr:uid="{08F42A58-733B-487D-897B-8E7F63D47DB0}"/>
    <cellStyle name="40% - Accent4 4 3 2 3" xfId="20272" xr:uid="{A5AB7053-2433-4530-94D0-0EEBEFB81479}"/>
    <cellStyle name="40% - Accent4 4 3 2 4" xfId="11830" xr:uid="{93378955-D67B-4A93-850F-EB01B4F4DF01}"/>
    <cellStyle name="40% - Accent4 4 3 3" xfId="5410" xr:uid="{00000000-0005-0000-0000-000022060000}"/>
    <cellStyle name="40% - Accent4 4 3 3 2" xfId="22345" xr:uid="{8087A642-F573-455E-9F11-ACD44776E7E6}"/>
    <cellStyle name="40% - Accent4 4 3 3 3" xfId="13904" xr:uid="{737CA34E-788D-4FD4-AB9F-57A99DE4A7BC}"/>
    <cellStyle name="40% - Accent4 4 3 4" xfId="18127" xr:uid="{81703AD4-370B-4006-87F7-53939BB41536}"/>
    <cellStyle name="40% - Accent4 4 3 5" xfId="9653" xr:uid="{7AF07415-8A29-4F7C-8895-ACDC600B9464}"/>
    <cellStyle name="40% - Accent4 4 4" xfId="1516" xr:uid="{00000000-0005-0000-0000-000023060000}"/>
    <cellStyle name="40% - Accent4 4 4 2" xfId="3746" xr:uid="{00000000-0005-0000-0000-000024060000}"/>
    <cellStyle name="40% - Accent4 4 4 2 2" xfId="7968" xr:uid="{00000000-0005-0000-0000-000025060000}"/>
    <cellStyle name="40% - Accent4 4 4 2 2 2" xfId="24903" xr:uid="{B7078D39-BC9E-4D06-B294-9419A0FCCE25}"/>
    <cellStyle name="40% - Accent4 4 4 2 2 3" xfId="16462" xr:uid="{CB3D6745-29A4-4A0C-84DB-EE9C74496C13}"/>
    <cellStyle name="40% - Accent4 4 4 2 3" xfId="20685" xr:uid="{047B7C97-9E70-45CA-99A8-59AAE17C47BF}"/>
    <cellStyle name="40% - Accent4 4 4 2 4" xfId="12243" xr:uid="{7381D547-283E-42A8-915A-76ACB4ADC9A6}"/>
    <cellStyle name="40% - Accent4 4 4 3" xfId="5823" xr:uid="{00000000-0005-0000-0000-000026060000}"/>
    <cellStyle name="40% - Accent4 4 4 3 2" xfId="22758" xr:uid="{FA0C56DB-AFEC-4121-A3E4-E7396FDEEE01}"/>
    <cellStyle name="40% - Accent4 4 4 3 3" xfId="14317" xr:uid="{8848048C-76C0-4B1A-967D-503C619CD001}"/>
    <cellStyle name="40% - Accent4 4 4 4" xfId="18540" xr:uid="{582774C2-F9FD-47F4-89EA-EA0B4BD6FABF}"/>
    <cellStyle name="40% - Accent4 4 4 5" xfId="10066" xr:uid="{D3C1DCE6-6E79-472A-BA04-F9AEE6B36AC1}"/>
    <cellStyle name="40% - Accent4 4 5" xfId="1930" xr:uid="{00000000-0005-0000-0000-000027060000}"/>
    <cellStyle name="40% - Accent4 4 5 2" xfId="4159" xr:uid="{00000000-0005-0000-0000-000028060000}"/>
    <cellStyle name="40% - Accent4 4 5 2 2" xfId="8381" xr:uid="{00000000-0005-0000-0000-000029060000}"/>
    <cellStyle name="40% - Accent4 4 5 2 2 2" xfId="25316" xr:uid="{2D5C19CF-5252-4ED7-AE65-A15880699B75}"/>
    <cellStyle name="40% - Accent4 4 5 2 2 3" xfId="16875" xr:uid="{28D98B24-4380-4393-A712-0878E4B4330C}"/>
    <cellStyle name="40% - Accent4 4 5 2 3" xfId="21098" xr:uid="{B5E780F4-9FB3-4324-800A-0E36D8E2ED92}"/>
    <cellStyle name="40% - Accent4 4 5 2 4" xfId="12656" xr:uid="{4DDD9620-3D9A-49FC-AF18-64A1451D11C4}"/>
    <cellStyle name="40% - Accent4 4 5 3" xfId="6236" xr:uid="{00000000-0005-0000-0000-00002A060000}"/>
    <cellStyle name="40% - Accent4 4 5 3 2" xfId="23171" xr:uid="{8AA12100-DF95-4981-92AE-27C8985FC96D}"/>
    <cellStyle name="40% - Accent4 4 5 3 3" xfId="14730" xr:uid="{45D192AE-F844-4FBB-A084-8315300D1C3F}"/>
    <cellStyle name="40% - Accent4 4 5 4" xfId="18953" xr:uid="{CE885887-B331-4B0E-B2FF-F3E975AE8583}"/>
    <cellStyle name="40% - Accent4 4 5 5" xfId="10479" xr:uid="{D4F218A7-5A6B-4158-A488-ECCF979CA2DE}"/>
    <cellStyle name="40% - Accent4 4 6" xfId="2343" xr:uid="{00000000-0005-0000-0000-00002B060000}"/>
    <cellStyle name="40% - Accent4 4 6 2" xfId="6649" xr:uid="{00000000-0005-0000-0000-00002C060000}"/>
    <cellStyle name="40% - Accent4 4 6 2 2" xfId="23584" xr:uid="{04A71243-7593-4EEF-B1AA-E6CB91FD707D}"/>
    <cellStyle name="40% - Accent4 4 6 2 3" xfId="15143" xr:uid="{04A37B9C-0735-458B-9227-7E271BF851AA}"/>
    <cellStyle name="40% - Accent4 4 6 3" xfId="19366" xr:uid="{8236B559-A3F8-43BF-9746-7DA5241501F8}"/>
    <cellStyle name="40% - Accent4 4 6 4" xfId="10892" xr:uid="{B62E7E0F-9F25-46E3-9A0A-BD7842BBD736}"/>
    <cellStyle name="40% - Accent4 4 7" xfId="4583" xr:uid="{00000000-0005-0000-0000-00002D060000}"/>
    <cellStyle name="40% - Accent4 4 7 2" xfId="21518" xr:uid="{621D625C-1B23-451D-99AF-10E574C1ECAD}"/>
    <cellStyle name="40% - Accent4 4 7 3" xfId="13077" xr:uid="{2DD47A7E-2223-447D-8D40-D3F8BDF488BA}"/>
    <cellStyle name="40% - Accent4 4 8" xfId="17300" xr:uid="{4A16CECD-E6BB-454D-AA27-A73B6E4E0D86}"/>
    <cellStyle name="40% - Accent4 4 9" xfId="8815" xr:uid="{6633C875-1365-4393-98C1-6552D3A736EA}"/>
    <cellStyle name="40% - Accent4 5" xfId="642" xr:uid="{00000000-0005-0000-0000-00002E060000}"/>
    <cellStyle name="40% - Accent4 5 2" xfId="2913" xr:uid="{00000000-0005-0000-0000-00002F060000}"/>
    <cellStyle name="40% - Accent4 5 2 2" xfId="7135" xr:uid="{00000000-0005-0000-0000-000030060000}"/>
    <cellStyle name="40% - Accent4 5 2 2 2" xfId="24070" xr:uid="{6BBDBFAD-4E62-49AD-B412-E93BAD3BB755}"/>
    <cellStyle name="40% - Accent4 5 2 2 3" xfId="15629" xr:uid="{BA73D812-41A2-4B02-810D-4EB4B01970C9}"/>
    <cellStyle name="40% - Accent4 5 2 3" xfId="19852" xr:uid="{F6BAAA26-01F6-4D21-B520-850BEFD0A1FC}"/>
    <cellStyle name="40% - Accent4 5 2 4" xfId="11410" xr:uid="{6AE13195-F48F-4B02-908F-84DB1928898D}"/>
    <cellStyle name="40% - Accent4 5 3" xfId="4990" xr:uid="{00000000-0005-0000-0000-000031060000}"/>
    <cellStyle name="40% - Accent4 5 3 2" xfId="21925" xr:uid="{02C981F9-24F6-4794-886F-02B39FD74359}"/>
    <cellStyle name="40% - Accent4 5 3 3" xfId="13484" xr:uid="{89E6D5AB-2BF7-44CF-B33F-FA44D0651D35}"/>
    <cellStyle name="40% - Accent4 5 4" xfId="17707" xr:uid="{FEDB4BED-2E9F-48D7-9440-F81ED341607B}"/>
    <cellStyle name="40% - Accent4 5 5" xfId="9232" xr:uid="{811257BF-0C0C-4EAA-9F82-E3EA3B03B8AC}"/>
    <cellStyle name="40% - Accent4 6" xfId="1095" xr:uid="{00000000-0005-0000-0000-000032060000}"/>
    <cellStyle name="40% - Accent4 6 2" xfId="3326" xr:uid="{00000000-0005-0000-0000-000033060000}"/>
    <cellStyle name="40% - Accent4 6 2 2" xfId="7548" xr:uid="{00000000-0005-0000-0000-000034060000}"/>
    <cellStyle name="40% - Accent4 6 2 2 2" xfId="24483" xr:uid="{75AC380D-F3D2-44B7-83F7-FD3E44F300FB}"/>
    <cellStyle name="40% - Accent4 6 2 2 3" xfId="16042" xr:uid="{157259E5-9632-44E4-80DA-584FC3A048C5}"/>
    <cellStyle name="40% - Accent4 6 2 3" xfId="20265" xr:uid="{A1F0FD0F-482C-4BDD-9D05-499D8AC7229F}"/>
    <cellStyle name="40% - Accent4 6 2 4" xfId="11823" xr:uid="{BF457D27-72F0-4A2D-9205-2AE90DC7788B}"/>
    <cellStyle name="40% - Accent4 6 3" xfId="5403" xr:uid="{00000000-0005-0000-0000-000035060000}"/>
    <cellStyle name="40% - Accent4 6 3 2" xfId="22338" xr:uid="{1F9F565B-6F4D-4444-9747-580D0855CFFB}"/>
    <cellStyle name="40% - Accent4 6 3 3" xfId="13897" xr:uid="{78562517-D80A-4F69-81EA-529382285869}"/>
    <cellStyle name="40% - Accent4 6 4" xfId="18120" xr:uid="{2605FDC6-3565-4865-8740-595401B28E78}"/>
    <cellStyle name="40% - Accent4 6 5" xfId="9646" xr:uid="{F172564C-1421-4264-A6E2-96A7C89C5309}"/>
    <cellStyle name="40% - Accent4 7" xfId="1509" xr:uid="{00000000-0005-0000-0000-000036060000}"/>
    <cellStyle name="40% - Accent4 7 2" xfId="3739" xr:uid="{00000000-0005-0000-0000-000037060000}"/>
    <cellStyle name="40% - Accent4 7 2 2" xfId="7961" xr:uid="{00000000-0005-0000-0000-000038060000}"/>
    <cellStyle name="40% - Accent4 7 2 2 2" xfId="24896" xr:uid="{4A19EB9D-A28E-4D9B-824F-D078B7D09BB1}"/>
    <cellStyle name="40% - Accent4 7 2 2 3" xfId="16455" xr:uid="{792F3D25-9BF6-4041-BDDC-10A6ED645197}"/>
    <cellStyle name="40% - Accent4 7 2 3" xfId="20678" xr:uid="{2A95BB6D-C0E4-41E4-B6DE-7FDFA5C9F26B}"/>
    <cellStyle name="40% - Accent4 7 2 4" xfId="12236" xr:uid="{DC211D6B-E83F-4C8B-88CF-DDCF89E415A6}"/>
    <cellStyle name="40% - Accent4 7 3" xfId="5816" xr:uid="{00000000-0005-0000-0000-000039060000}"/>
    <cellStyle name="40% - Accent4 7 3 2" xfId="22751" xr:uid="{47B90C80-E396-48B9-8C33-94CD42ADE06A}"/>
    <cellStyle name="40% - Accent4 7 3 3" xfId="14310" xr:uid="{8CFA3EDC-5C06-43A1-84ED-67669D93DCE6}"/>
    <cellStyle name="40% - Accent4 7 4" xfId="18533" xr:uid="{3F06B01F-95CD-4B3D-BCC1-D618D5E6F3E2}"/>
    <cellStyle name="40% - Accent4 7 5" xfId="10059" xr:uid="{2D320E18-14A3-4C54-8744-150E519192B0}"/>
    <cellStyle name="40% - Accent4 8" xfId="1923" xr:uid="{00000000-0005-0000-0000-00003A060000}"/>
    <cellStyle name="40% - Accent4 8 2" xfId="4152" xr:uid="{00000000-0005-0000-0000-00003B060000}"/>
    <cellStyle name="40% - Accent4 8 2 2" xfId="8374" xr:uid="{00000000-0005-0000-0000-00003C060000}"/>
    <cellStyle name="40% - Accent4 8 2 2 2" xfId="25309" xr:uid="{4692F203-640E-42C9-BC66-A8A284B31C82}"/>
    <cellStyle name="40% - Accent4 8 2 2 3" xfId="16868" xr:uid="{01CCDCA5-C426-4C67-8D61-652886835D1F}"/>
    <cellStyle name="40% - Accent4 8 2 3" xfId="21091" xr:uid="{219245BD-6B26-48EF-BC95-D83115E8CF73}"/>
    <cellStyle name="40% - Accent4 8 2 4" xfId="12649" xr:uid="{62A3B9E2-88A1-494A-AFC5-8EF1C3EB56BA}"/>
    <cellStyle name="40% - Accent4 8 3" xfId="6229" xr:uid="{00000000-0005-0000-0000-00003D060000}"/>
    <cellStyle name="40% - Accent4 8 3 2" xfId="23164" xr:uid="{ED959614-17AD-4BE8-9D47-89C12FDCA13D}"/>
    <cellStyle name="40% - Accent4 8 3 3" xfId="14723" xr:uid="{08689BD3-8CFC-4E13-B569-3C4561A8D761}"/>
    <cellStyle name="40% - Accent4 8 4" xfId="18946" xr:uid="{DDDDBC13-928C-4ACD-BC1E-8C4D814B2BE9}"/>
    <cellStyle name="40% - Accent4 8 5" xfId="10472" xr:uid="{60294B8E-687A-4989-A575-BE41C291D790}"/>
    <cellStyle name="40% - Accent4 9" xfId="2336" xr:uid="{00000000-0005-0000-0000-00003E060000}"/>
    <cellStyle name="40% - Accent4 9 2" xfId="6642" xr:uid="{00000000-0005-0000-0000-00003F060000}"/>
    <cellStyle name="40% - Accent4 9 2 2" xfId="23577" xr:uid="{A479967F-3C72-499E-BC71-5DA9EBF2FC5A}"/>
    <cellStyle name="40% - Accent4 9 2 3" xfId="15136" xr:uid="{DE268BA8-81B0-4430-BDCF-B9DE2FD7311D}"/>
    <cellStyle name="40% - Accent4 9 3" xfId="19359" xr:uid="{1584BCF5-37F3-424F-96D7-A9E856CAD6D7}"/>
    <cellStyle name="40% - Accent4 9 4" xfId="10885" xr:uid="{CFE6CC3D-4C34-47F4-A560-CA92A5B77257}"/>
    <cellStyle name="40% - Accent5" xfId="81" builtinId="47" customBuiltin="1"/>
    <cellStyle name="40% - Accent5 10" xfId="4584" xr:uid="{00000000-0005-0000-0000-000041060000}"/>
    <cellStyle name="40% - Accent5 10 2" xfId="21519" xr:uid="{C8E4B5C0-1DC1-4364-80A5-EF2611B66E72}"/>
    <cellStyle name="40% - Accent5 10 3" xfId="13078" xr:uid="{5A2AF424-8064-4EC6-9BF2-72BAC5200FF5}"/>
    <cellStyle name="40% - Accent5 11" xfId="17301" xr:uid="{79F9070E-388E-435B-B4BC-8912F74D3CC8}"/>
    <cellStyle name="40% - Accent5 12" xfId="8816" xr:uid="{34A878AC-6A01-4E7E-8C1B-A9CDB786F839}"/>
    <cellStyle name="40% - Accent5 2" xfId="82" xr:uid="{00000000-0005-0000-0000-000042060000}"/>
    <cellStyle name="40% - Accent5 2 10" xfId="17302" xr:uid="{3A908B4B-246C-46A2-929B-85E69F25F8CB}"/>
    <cellStyle name="40% - Accent5 2 11" xfId="8817" xr:uid="{F5A86E19-E1D0-4AAF-9F34-C97C743F1F28}"/>
    <cellStyle name="40% - Accent5 2 2" xfId="83" xr:uid="{00000000-0005-0000-0000-000043060000}"/>
    <cellStyle name="40% - Accent5 2 2 10" xfId="8818" xr:uid="{AA296891-3E63-442B-897D-FF49C9E4161A}"/>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081" xr:uid="{3AFBFFD7-94A5-4DE6-9CD2-EAEF6080AA4A}"/>
    <cellStyle name="40% - Accent5 2 2 2 2 2 2 3" xfId="15640" xr:uid="{2070D1F1-A7B3-48B9-B75F-0FB333269C42}"/>
    <cellStyle name="40% - Accent5 2 2 2 2 2 3" xfId="19863" xr:uid="{0F326134-95A0-43A1-BC64-A5C4B198E1B0}"/>
    <cellStyle name="40% - Accent5 2 2 2 2 2 4" xfId="11421" xr:uid="{62DFC9AA-702B-4FED-A4A2-3E4A78AE1285}"/>
    <cellStyle name="40% - Accent5 2 2 2 2 3" xfId="5001" xr:uid="{00000000-0005-0000-0000-000048060000}"/>
    <cellStyle name="40% - Accent5 2 2 2 2 3 2" xfId="21936" xr:uid="{B296623A-DDBF-4544-B557-421C19D09685}"/>
    <cellStyle name="40% - Accent5 2 2 2 2 3 3" xfId="13495" xr:uid="{85D7A1EE-C2CD-4C5B-9537-EA6E741D2461}"/>
    <cellStyle name="40% - Accent5 2 2 2 2 4" xfId="17718" xr:uid="{C2D81348-A89B-4A62-8DDA-0531346D9554}"/>
    <cellStyle name="40% - Accent5 2 2 2 2 5" xfId="9243" xr:uid="{0A3420AA-14C8-434B-8474-C8DC692D8287}"/>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4494" xr:uid="{2C5DB5E1-19A6-4A76-A573-C3815C9C8F62}"/>
    <cellStyle name="40% - Accent5 2 2 2 3 2 2 3" xfId="16053" xr:uid="{52496701-93F6-429D-8495-4E7FD147625A}"/>
    <cellStyle name="40% - Accent5 2 2 2 3 2 3" xfId="20276" xr:uid="{49D45595-45E6-4EC8-B237-BCC81CF30E5D}"/>
    <cellStyle name="40% - Accent5 2 2 2 3 2 4" xfId="11834" xr:uid="{202B5C3D-2673-4A56-8973-B861B20AA1CE}"/>
    <cellStyle name="40% - Accent5 2 2 2 3 3" xfId="5414" xr:uid="{00000000-0005-0000-0000-00004C060000}"/>
    <cellStyle name="40% - Accent5 2 2 2 3 3 2" xfId="22349" xr:uid="{D3EF86E9-DF71-44F3-87F3-DEC919DB7360}"/>
    <cellStyle name="40% - Accent5 2 2 2 3 3 3" xfId="13908" xr:uid="{3E7E6077-9ECE-4DEC-BA89-9E0AA12AECA6}"/>
    <cellStyle name="40% - Accent5 2 2 2 3 4" xfId="18131" xr:uid="{B5610759-6803-4C3F-A32D-FC9355931B71}"/>
    <cellStyle name="40% - Accent5 2 2 2 3 5" xfId="9657" xr:uid="{19F0A3A2-862A-4DA2-8901-A979D7B1B5DD}"/>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4907" xr:uid="{1FCA7DAF-62A1-4774-9B15-14554232C3C8}"/>
    <cellStyle name="40% - Accent5 2 2 2 4 2 2 3" xfId="16466" xr:uid="{A2044707-4F4C-42EC-9CF4-26A92750CD5C}"/>
    <cellStyle name="40% - Accent5 2 2 2 4 2 3" xfId="20689" xr:uid="{868E8DFA-7E4C-4CE0-926D-A1AFA596CC89}"/>
    <cellStyle name="40% - Accent5 2 2 2 4 2 4" xfId="12247" xr:uid="{EECD1621-73BD-4509-A09A-33B186099EC4}"/>
    <cellStyle name="40% - Accent5 2 2 2 4 3" xfId="5827" xr:uid="{00000000-0005-0000-0000-000050060000}"/>
    <cellStyle name="40% - Accent5 2 2 2 4 3 2" xfId="22762" xr:uid="{C027421F-F8F1-47F8-B61F-B564414BA970}"/>
    <cellStyle name="40% - Accent5 2 2 2 4 3 3" xfId="14321" xr:uid="{491206F1-3FD5-4E5D-9013-C73E61C36BD7}"/>
    <cellStyle name="40% - Accent5 2 2 2 4 4" xfId="18544" xr:uid="{13DF828B-25CD-4F87-9461-4B0996106574}"/>
    <cellStyle name="40% - Accent5 2 2 2 4 5" xfId="10070" xr:uid="{D391CB8E-76AD-423D-8977-6F6003D08DB5}"/>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5320" xr:uid="{3A2890E0-7E24-4E59-9773-52E6C1A52493}"/>
    <cellStyle name="40% - Accent5 2 2 2 5 2 2 3" xfId="16879" xr:uid="{B903D515-A089-455C-A539-9D08434A5CF4}"/>
    <cellStyle name="40% - Accent5 2 2 2 5 2 3" xfId="21102" xr:uid="{D887AA02-C8F4-4422-83B2-F583CCEC5836}"/>
    <cellStyle name="40% - Accent5 2 2 2 5 2 4" xfId="12660" xr:uid="{662D86DD-CE9C-4962-9599-8234DA597FB7}"/>
    <cellStyle name="40% - Accent5 2 2 2 5 3" xfId="6240" xr:uid="{00000000-0005-0000-0000-000054060000}"/>
    <cellStyle name="40% - Accent5 2 2 2 5 3 2" xfId="23175" xr:uid="{47570AE1-F1A0-47A8-A588-3EB6C2E07427}"/>
    <cellStyle name="40% - Accent5 2 2 2 5 3 3" xfId="14734" xr:uid="{BAD65251-4F86-40FE-AE93-33FF7BFE0073}"/>
    <cellStyle name="40% - Accent5 2 2 2 5 4" xfId="18957" xr:uid="{A5B6ECAC-F15C-43BF-9D68-C34222638EA3}"/>
    <cellStyle name="40% - Accent5 2 2 2 5 5" xfId="10483" xr:uid="{3C9F0F46-FAD5-4660-91AA-FDD26800FB91}"/>
    <cellStyle name="40% - Accent5 2 2 2 6" xfId="2347" xr:uid="{00000000-0005-0000-0000-000055060000}"/>
    <cellStyle name="40% - Accent5 2 2 2 6 2" xfId="6653" xr:uid="{00000000-0005-0000-0000-000056060000}"/>
    <cellStyle name="40% - Accent5 2 2 2 6 2 2" xfId="23588" xr:uid="{206FE065-11F8-4F07-94E4-979565437B28}"/>
    <cellStyle name="40% - Accent5 2 2 2 6 2 3" xfId="15147" xr:uid="{0099C241-10AA-40EF-84BE-B661ED3DB75B}"/>
    <cellStyle name="40% - Accent5 2 2 2 6 3" xfId="19370" xr:uid="{B09995A4-8A32-49AE-B28C-A6059988A766}"/>
    <cellStyle name="40% - Accent5 2 2 2 6 4" xfId="10896" xr:uid="{CAACEFD6-DEB5-4F47-A285-8B9F231E4D30}"/>
    <cellStyle name="40% - Accent5 2 2 2 7" xfId="4587" xr:uid="{00000000-0005-0000-0000-000057060000}"/>
    <cellStyle name="40% - Accent5 2 2 2 7 2" xfId="21522" xr:uid="{87340E01-A75A-418F-91DE-C0D41F530E21}"/>
    <cellStyle name="40% - Accent5 2 2 2 7 3" xfId="13081" xr:uid="{296F57B8-3838-433A-B496-E4AFB614FC90}"/>
    <cellStyle name="40% - Accent5 2 2 2 8" xfId="17304" xr:uid="{209BB6A4-2202-460A-B094-0AF516A842AA}"/>
    <cellStyle name="40% - Accent5 2 2 2 9" xfId="8819" xr:uid="{5716E454-897E-434F-A146-F4A23FDD6EE2}"/>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080" xr:uid="{F867CDE9-5E6B-4FF8-BEB4-7CC5391AE51C}"/>
    <cellStyle name="40% - Accent5 2 2 3 2 2 3" xfId="15639" xr:uid="{8B4B66EC-5B83-447C-AAD9-0FE3D6474028}"/>
    <cellStyle name="40% - Accent5 2 2 3 2 3" xfId="19862" xr:uid="{7E15DB23-1272-435E-91C5-6C25EE5EE79D}"/>
    <cellStyle name="40% - Accent5 2 2 3 2 4" xfId="11420" xr:uid="{5F827CF9-9BE2-400F-B1D0-2EBCE6941476}"/>
    <cellStyle name="40% - Accent5 2 2 3 3" xfId="5000" xr:uid="{00000000-0005-0000-0000-00005B060000}"/>
    <cellStyle name="40% - Accent5 2 2 3 3 2" xfId="21935" xr:uid="{E6810EE0-3455-4159-A959-5417CC67CFED}"/>
    <cellStyle name="40% - Accent5 2 2 3 3 3" xfId="13494" xr:uid="{BA330C91-2D6D-4BBD-83AA-514DC5C46A79}"/>
    <cellStyle name="40% - Accent5 2 2 3 4" xfId="17717" xr:uid="{9CA720A0-F6F0-4B6E-B192-8EEFE3567A25}"/>
    <cellStyle name="40% - Accent5 2 2 3 5" xfId="9242" xr:uid="{C0DDE034-42CF-480D-8CDA-F6A5384CD47A}"/>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4493" xr:uid="{EEC1226B-38FC-4785-95B5-84109E4C03B5}"/>
    <cellStyle name="40% - Accent5 2 2 4 2 2 3" xfId="16052" xr:uid="{3D8FB004-C62B-402B-BAD6-0E334E657E81}"/>
    <cellStyle name="40% - Accent5 2 2 4 2 3" xfId="20275" xr:uid="{22F5DAB9-BB92-4A07-973C-994F48BABE51}"/>
    <cellStyle name="40% - Accent5 2 2 4 2 4" xfId="11833" xr:uid="{59B0D2CF-DE2A-4504-8594-C40C7B1FB343}"/>
    <cellStyle name="40% - Accent5 2 2 4 3" xfId="5413" xr:uid="{00000000-0005-0000-0000-00005F060000}"/>
    <cellStyle name="40% - Accent5 2 2 4 3 2" xfId="22348" xr:uid="{EB002326-DDB7-412A-9875-FAD866FD629B}"/>
    <cellStyle name="40% - Accent5 2 2 4 3 3" xfId="13907" xr:uid="{82C8CC23-B58E-4F30-919D-B9D4613D8C3C}"/>
    <cellStyle name="40% - Accent5 2 2 4 4" xfId="18130" xr:uid="{137BD524-FD45-4288-95ED-95A96A20649C}"/>
    <cellStyle name="40% - Accent5 2 2 4 5" xfId="9656" xr:uid="{4C8CE7B9-7EA2-4834-A116-00FEC5A5188E}"/>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4906" xr:uid="{AE4CDCE3-E565-4E45-AAC1-34E41E6EF3C8}"/>
    <cellStyle name="40% - Accent5 2 2 5 2 2 3" xfId="16465" xr:uid="{7D5E26BA-1D39-4560-8001-0B80787B508C}"/>
    <cellStyle name="40% - Accent5 2 2 5 2 3" xfId="20688" xr:uid="{583C9DB6-4219-41FA-9945-CA029BD7946A}"/>
    <cellStyle name="40% - Accent5 2 2 5 2 4" xfId="12246" xr:uid="{0F6476CB-812A-4A88-B08F-2E4AA781CAEB}"/>
    <cellStyle name="40% - Accent5 2 2 5 3" xfId="5826" xr:uid="{00000000-0005-0000-0000-000063060000}"/>
    <cellStyle name="40% - Accent5 2 2 5 3 2" xfId="22761" xr:uid="{56F00083-6FCC-4F74-A9A2-E949316BF131}"/>
    <cellStyle name="40% - Accent5 2 2 5 3 3" xfId="14320" xr:uid="{7FEEE5D5-AA31-40C3-951C-9A12D3768481}"/>
    <cellStyle name="40% - Accent5 2 2 5 4" xfId="18543" xr:uid="{1F45E149-DAE3-4F7F-8F4A-8D2AD7922422}"/>
    <cellStyle name="40% - Accent5 2 2 5 5" xfId="10069" xr:uid="{146B846D-64D5-4F82-A600-9D382D7CA12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5319" xr:uid="{B81A813E-DD9B-4EFE-98D7-3FBC0129FA94}"/>
    <cellStyle name="40% - Accent5 2 2 6 2 2 3" xfId="16878" xr:uid="{0A9E7A12-1A85-4923-9EAE-809F99341057}"/>
    <cellStyle name="40% - Accent5 2 2 6 2 3" xfId="21101" xr:uid="{62A4D0AC-A3F6-484A-A169-F06E67E0DC6B}"/>
    <cellStyle name="40% - Accent5 2 2 6 2 4" xfId="12659" xr:uid="{81B2F0DD-F649-4424-A8A1-E6D1178C9018}"/>
    <cellStyle name="40% - Accent5 2 2 6 3" xfId="6239" xr:uid="{00000000-0005-0000-0000-000067060000}"/>
    <cellStyle name="40% - Accent5 2 2 6 3 2" xfId="23174" xr:uid="{7AD76642-026C-46C6-982A-3422868B7C08}"/>
    <cellStyle name="40% - Accent5 2 2 6 3 3" xfId="14733" xr:uid="{B865CF2E-7A99-4192-A369-EAB9FE5025C5}"/>
    <cellStyle name="40% - Accent5 2 2 6 4" xfId="18956" xr:uid="{7E35C982-46A4-4CEB-AE47-244DB2705474}"/>
    <cellStyle name="40% - Accent5 2 2 6 5" xfId="10482" xr:uid="{36EBCF3B-A4C9-4D02-A7F1-8F2B8DBE62FC}"/>
    <cellStyle name="40% - Accent5 2 2 7" xfId="2346" xr:uid="{00000000-0005-0000-0000-000068060000}"/>
    <cellStyle name="40% - Accent5 2 2 7 2" xfId="6652" xr:uid="{00000000-0005-0000-0000-000069060000}"/>
    <cellStyle name="40% - Accent5 2 2 7 2 2" xfId="23587" xr:uid="{8613F5D1-2C49-4C92-995E-D93C5E0B1D66}"/>
    <cellStyle name="40% - Accent5 2 2 7 2 3" xfId="15146" xr:uid="{317E6BB5-22E9-496E-B832-8B063504C3B3}"/>
    <cellStyle name="40% - Accent5 2 2 7 3" xfId="19369" xr:uid="{6AD74944-6E40-439C-A9B5-8218D5F378F7}"/>
    <cellStyle name="40% - Accent5 2 2 7 4" xfId="10895" xr:uid="{3A0F52FF-BCAA-4849-8B5A-26FB5B6D56F9}"/>
    <cellStyle name="40% - Accent5 2 2 8" xfId="4586" xr:uid="{00000000-0005-0000-0000-00006A060000}"/>
    <cellStyle name="40% - Accent5 2 2 8 2" xfId="21521" xr:uid="{A2DFEC5D-C22C-472D-9C63-76AF895B6546}"/>
    <cellStyle name="40% - Accent5 2 2 8 3" xfId="13080" xr:uid="{39D3EB44-82AE-43D8-AE84-D64F3AE58AB8}"/>
    <cellStyle name="40% - Accent5 2 2 9" xfId="17303" xr:uid="{C4A91651-BBF9-4AA4-9EFA-4AA58C50BD74}"/>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082" xr:uid="{E8458AC2-D3E8-409D-9D96-64762755454E}"/>
    <cellStyle name="40% - Accent5 2 3 2 2 2 3" xfId="15641" xr:uid="{59D3C2CF-6E6D-484D-963B-E34AE8E538B5}"/>
    <cellStyle name="40% - Accent5 2 3 2 2 3" xfId="19864" xr:uid="{02AACCAD-36D7-4211-80A7-0F3D75916F92}"/>
    <cellStyle name="40% - Accent5 2 3 2 2 4" xfId="11422" xr:uid="{3755A203-9A5A-419E-8780-B481AA8D31F4}"/>
    <cellStyle name="40% - Accent5 2 3 2 3" xfId="5002" xr:uid="{00000000-0005-0000-0000-00006F060000}"/>
    <cellStyle name="40% - Accent5 2 3 2 3 2" xfId="21937" xr:uid="{C2DB071E-EAE2-4C9B-8E9D-372B7FF44657}"/>
    <cellStyle name="40% - Accent5 2 3 2 3 3" xfId="13496" xr:uid="{0F0323C9-7B31-435C-B920-67543E783421}"/>
    <cellStyle name="40% - Accent5 2 3 2 4" xfId="17719" xr:uid="{E860024F-9B29-45C8-A6CB-2099F232A8E2}"/>
    <cellStyle name="40% - Accent5 2 3 2 5" xfId="9244" xr:uid="{1E29C497-ED48-4533-8319-8A8C0F589661}"/>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4495" xr:uid="{6481D2C1-F77F-4363-9241-6D6DA6375FFF}"/>
    <cellStyle name="40% - Accent5 2 3 3 2 2 3" xfId="16054" xr:uid="{64D2C4E8-9333-4B8B-9961-41803A6A40F0}"/>
    <cellStyle name="40% - Accent5 2 3 3 2 3" xfId="20277" xr:uid="{B1F1E0A7-A32E-4A46-BD9C-C9D8C558D9E1}"/>
    <cellStyle name="40% - Accent5 2 3 3 2 4" xfId="11835" xr:uid="{486E96D4-076C-4581-9906-80E0AC5F6DB2}"/>
    <cellStyle name="40% - Accent5 2 3 3 3" xfId="5415" xr:uid="{00000000-0005-0000-0000-000073060000}"/>
    <cellStyle name="40% - Accent5 2 3 3 3 2" xfId="22350" xr:uid="{8B93BE7A-A51E-4C8F-A7E8-9BACE73BE004}"/>
    <cellStyle name="40% - Accent5 2 3 3 3 3" xfId="13909" xr:uid="{64441009-BE85-4BBE-8F78-DBCC178EF19B}"/>
    <cellStyle name="40% - Accent5 2 3 3 4" xfId="18132" xr:uid="{41FA2594-7C88-42C5-8BB9-67E1B0A7C2A2}"/>
    <cellStyle name="40% - Accent5 2 3 3 5" xfId="9658" xr:uid="{ECEA336A-770D-4D15-9A06-95ACE09858DA}"/>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4908" xr:uid="{C968EBAB-06E7-4C84-ADCF-7F6C59085308}"/>
    <cellStyle name="40% - Accent5 2 3 4 2 2 3" xfId="16467" xr:uid="{BCF5C927-6E36-45E3-9F96-03DB67732BEF}"/>
    <cellStyle name="40% - Accent5 2 3 4 2 3" xfId="20690" xr:uid="{962940BD-EB3A-42FF-BBA0-5A92C671F479}"/>
    <cellStyle name="40% - Accent5 2 3 4 2 4" xfId="12248" xr:uid="{2D6502DB-1850-414F-8EFF-199D17039831}"/>
    <cellStyle name="40% - Accent5 2 3 4 3" xfId="5828" xr:uid="{00000000-0005-0000-0000-000077060000}"/>
    <cellStyle name="40% - Accent5 2 3 4 3 2" xfId="22763" xr:uid="{B487F64B-0AC1-44F5-91D8-BAACF463F617}"/>
    <cellStyle name="40% - Accent5 2 3 4 3 3" xfId="14322" xr:uid="{1338CC93-99F9-4169-9967-0E5C6634DC4E}"/>
    <cellStyle name="40% - Accent5 2 3 4 4" xfId="18545" xr:uid="{60A1358C-78EB-47BC-8B2D-05D25D3DC1AC}"/>
    <cellStyle name="40% - Accent5 2 3 4 5" xfId="10071" xr:uid="{959263F6-FA57-49A7-98A5-5C232DCB3603}"/>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5321" xr:uid="{992F1956-6AEB-41EC-8812-72F5732AC9FB}"/>
    <cellStyle name="40% - Accent5 2 3 5 2 2 3" xfId="16880" xr:uid="{F6667141-AC03-4CE2-BEBF-309ADF6C6886}"/>
    <cellStyle name="40% - Accent5 2 3 5 2 3" xfId="21103" xr:uid="{9CED0592-0F78-44CE-8E3A-01310629AF31}"/>
    <cellStyle name="40% - Accent5 2 3 5 2 4" xfId="12661" xr:uid="{4B1851B5-318A-4B87-92F8-1A9EDAC3228F}"/>
    <cellStyle name="40% - Accent5 2 3 5 3" xfId="6241" xr:uid="{00000000-0005-0000-0000-00007B060000}"/>
    <cellStyle name="40% - Accent5 2 3 5 3 2" xfId="23176" xr:uid="{BC7DF179-92C3-4BD3-9608-41155CCD555E}"/>
    <cellStyle name="40% - Accent5 2 3 5 3 3" xfId="14735" xr:uid="{120EC15B-C0AD-44CE-AE72-450ED91EECE4}"/>
    <cellStyle name="40% - Accent5 2 3 5 4" xfId="18958" xr:uid="{D62A46E3-A31F-49FE-8C46-31A348B781F4}"/>
    <cellStyle name="40% - Accent5 2 3 5 5" xfId="10484" xr:uid="{69ADC284-708B-4B34-986F-DAA90F3C09D2}"/>
    <cellStyle name="40% - Accent5 2 3 6" xfId="2348" xr:uid="{00000000-0005-0000-0000-00007C060000}"/>
    <cellStyle name="40% - Accent5 2 3 6 2" xfId="6654" xr:uid="{00000000-0005-0000-0000-00007D060000}"/>
    <cellStyle name="40% - Accent5 2 3 6 2 2" xfId="23589" xr:uid="{D51467C3-BF9F-4BE4-8B19-F2CB61843641}"/>
    <cellStyle name="40% - Accent5 2 3 6 2 3" xfId="15148" xr:uid="{56232BD5-7583-4D93-A328-4D18C8587CE3}"/>
    <cellStyle name="40% - Accent5 2 3 6 3" xfId="19371" xr:uid="{8D6A9CFB-E19B-479E-AA80-182F7211E5B2}"/>
    <cellStyle name="40% - Accent5 2 3 6 4" xfId="10897" xr:uid="{376F067B-C8ED-42A4-B687-FD7729715FB3}"/>
    <cellStyle name="40% - Accent5 2 3 7" xfId="4588" xr:uid="{00000000-0005-0000-0000-00007E060000}"/>
    <cellStyle name="40% - Accent5 2 3 7 2" xfId="21523" xr:uid="{23CBA83B-AC71-4A42-84BC-3321E73E4ED9}"/>
    <cellStyle name="40% - Accent5 2 3 7 3" xfId="13082" xr:uid="{167D4600-6762-461D-A7F4-4D125517D5A0}"/>
    <cellStyle name="40% - Accent5 2 3 8" xfId="17305" xr:uid="{256EBAEC-68D6-4988-B6E0-82DCD60DB2C8}"/>
    <cellStyle name="40% - Accent5 2 3 9" xfId="8820" xr:uid="{2CAA8DA6-9E7F-433C-9D4F-5BBA1D744994}"/>
    <cellStyle name="40% - Accent5 2 4" xfId="651" xr:uid="{00000000-0005-0000-0000-00007F060000}"/>
    <cellStyle name="40% - Accent5 2 4 2" xfId="2922" xr:uid="{00000000-0005-0000-0000-000080060000}"/>
    <cellStyle name="40% - Accent5 2 4 2 2" xfId="7144" xr:uid="{00000000-0005-0000-0000-000081060000}"/>
    <cellStyle name="40% - Accent5 2 4 2 2 2" xfId="24079" xr:uid="{F741E433-3332-4C00-B5A5-1176A13199CE}"/>
    <cellStyle name="40% - Accent5 2 4 2 2 3" xfId="15638" xr:uid="{09F4F7E2-E728-451C-B3AC-5D2DC0DD89B3}"/>
    <cellStyle name="40% - Accent5 2 4 2 3" xfId="19861" xr:uid="{9A772BD1-CEE9-4AA0-9531-718638035126}"/>
    <cellStyle name="40% - Accent5 2 4 2 4" xfId="11419" xr:uid="{F759A1CE-FB53-4763-B19E-425D94FB6A0E}"/>
    <cellStyle name="40% - Accent5 2 4 3" xfId="4999" xr:uid="{00000000-0005-0000-0000-000082060000}"/>
    <cellStyle name="40% - Accent5 2 4 3 2" xfId="21934" xr:uid="{1721CDB6-7991-4D09-BDA3-2A4D071924A8}"/>
    <cellStyle name="40% - Accent5 2 4 3 3" xfId="13493" xr:uid="{45B474B3-2D15-46CC-968B-66E50BD7FB55}"/>
    <cellStyle name="40% - Accent5 2 4 4" xfId="17716" xr:uid="{51AAB4A9-FBF5-45E0-8CAE-C77AD9C80163}"/>
    <cellStyle name="40% - Accent5 2 4 5" xfId="9241" xr:uid="{516FDBF7-E119-45EB-BB55-29DCF7610AB3}"/>
    <cellStyle name="40% - Accent5 2 5" xfId="1104" xr:uid="{00000000-0005-0000-0000-000083060000}"/>
    <cellStyle name="40% - Accent5 2 5 2" xfId="3335" xr:uid="{00000000-0005-0000-0000-000084060000}"/>
    <cellStyle name="40% - Accent5 2 5 2 2" xfId="7557" xr:uid="{00000000-0005-0000-0000-000085060000}"/>
    <cellStyle name="40% - Accent5 2 5 2 2 2" xfId="24492" xr:uid="{82FD79ED-1C50-4621-8708-353D8F6A0F68}"/>
    <cellStyle name="40% - Accent5 2 5 2 2 3" xfId="16051" xr:uid="{F0C13210-364B-4E37-B84C-2C515E450E9B}"/>
    <cellStyle name="40% - Accent5 2 5 2 3" xfId="20274" xr:uid="{E67E9954-1422-4554-AFDC-2029F341DB38}"/>
    <cellStyle name="40% - Accent5 2 5 2 4" xfId="11832" xr:uid="{F64F5894-A554-4F19-A1CE-52E734EA5BB8}"/>
    <cellStyle name="40% - Accent5 2 5 3" xfId="5412" xr:uid="{00000000-0005-0000-0000-000086060000}"/>
    <cellStyle name="40% - Accent5 2 5 3 2" xfId="22347" xr:uid="{8AC1AB37-6025-43C0-982D-C13030C839D9}"/>
    <cellStyle name="40% - Accent5 2 5 3 3" xfId="13906" xr:uid="{637A1459-FA91-4831-ACF3-110CA5F9D992}"/>
    <cellStyle name="40% - Accent5 2 5 4" xfId="18129" xr:uid="{831FF874-7CA2-4403-83F7-D600B911124B}"/>
    <cellStyle name="40% - Accent5 2 5 5" xfId="9655" xr:uid="{BF8A9BCC-874F-493E-BA99-79115C40E38C}"/>
    <cellStyle name="40% - Accent5 2 6" xfId="1518" xr:uid="{00000000-0005-0000-0000-000087060000}"/>
    <cellStyle name="40% - Accent5 2 6 2" xfId="3748" xr:uid="{00000000-0005-0000-0000-000088060000}"/>
    <cellStyle name="40% - Accent5 2 6 2 2" xfId="7970" xr:uid="{00000000-0005-0000-0000-000089060000}"/>
    <cellStyle name="40% - Accent5 2 6 2 2 2" xfId="24905" xr:uid="{FDB36CEA-9DD9-4088-B051-F11E4AB38BAC}"/>
    <cellStyle name="40% - Accent5 2 6 2 2 3" xfId="16464" xr:uid="{1BC4A44C-9725-4711-9D12-F76F446B0DC5}"/>
    <cellStyle name="40% - Accent5 2 6 2 3" xfId="20687" xr:uid="{3B74FBC1-48DE-4444-83AB-EB46CE3869F7}"/>
    <cellStyle name="40% - Accent5 2 6 2 4" xfId="12245" xr:uid="{43E5C634-1322-42EF-B16C-D7BDE8DC8F59}"/>
    <cellStyle name="40% - Accent5 2 6 3" xfId="5825" xr:uid="{00000000-0005-0000-0000-00008A060000}"/>
    <cellStyle name="40% - Accent5 2 6 3 2" xfId="22760" xr:uid="{031DA63B-663A-4F93-BF10-E14F480743F9}"/>
    <cellStyle name="40% - Accent5 2 6 3 3" xfId="14319" xr:uid="{26C59B58-1D31-4CC8-A177-14F6E03A84D7}"/>
    <cellStyle name="40% - Accent5 2 6 4" xfId="18542" xr:uid="{FDD74758-3705-4437-8B76-7C7F271643A4}"/>
    <cellStyle name="40% - Accent5 2 6 5" xfId="10068" xr:uid="{8FD4D5E2-B9AB-4C3F-A2BE-936796001682}"/>
    <cellStyle name="40% - Accent5 2 7" xfId="1932" xr:uid="{00000000-0005-0000-0000-00008B060000}"/>
    <cellStyle name="40% - Accent5 2 7 2" xfId="4161" xr:uid="{00000000-0005-0000-0000-00008C060000}"/>
    <cellStyle name="40% - Accent5 2 7 2 2" xfId="8383" xr:uid="{00000000-0005-0000-0000-00008D060000}"/>
    <cellStyle name="40% - Accent5 2 7 2 2 2" xfId="25318" xr:uid="{62B55FFD-D9C5-4ED0-91CB-6D1E1A04BC72}"/>
    <cellStyle name="40% - Accent5 2 7 2 2 3" xfId="16877" xr:uid="{BD325ADE-075C-4CEF-A472-B9D66632E39B}"/>
    <cellStyle name="40% - Accent5 2 7 2 3" xfId="21100" xr:uid="{9E0E6572-B177-4FAA-80D4-CD68C6B232AE}"/>
    <cellStyle name="40% - Accent5 2 7 2 4" xfId="12658" xr:uid="{06C1A142-4242-41EE-B23A-71E90A531945}"/>
    <cellStyle name="40% - Accent5 2 7 3" xfId="6238" xr:uid="{00000000-0005-0000-0000-00008E060000}"/>
    <cellStyle name="40% - Accent5 2 7 3 2" xfId="23173" xr:uid="{F6254325-BAE8-48E5-B68F-1A3147C98B16}"/>
    <cellStyle name="40% - Accent5 2 7 3 3" xfId="14732" xr:uid="{4E0DE60F-D550-4796-B988-A94A77492930}"/>
    <cellStyle name="40% - Accent5 2 7 4" xfId="18955" xr:uid="{F16C2D62-3568-4763-B854-38CDCCCC2750}"/>
    <cellStyle name="40% - Accent5 2 7 5" xfId="10481" xr:uid="{C3992F6E-600D-499C-9597-379F4CECE86B}"/>
    <cellStyle name="40% - Accent5 2 8" xfId="2345" xr:uid="{00000000-0005-0000-0000-00008F060000}"/>
    <cellStyle name="40% - Accent5 2 8 2" xfId="6651" xr:uid="{00000000-0005-0000-0000-000090060000}"/>
    <cellStyle name="40% - Accent5 2 8 2 2" xfId="23586" xr:uid="{E85327E7-F8CF-49B4-9541-59EF4C92166E}"/>
    <cellStyle name="40% - Accent5 2 8 2 3" xfId="15145" xr:uid="{B071100A-1883-4355-A40C-2AACD0F9E0A6}"/>
    <cellStyle name="40% - Accent5 2 8 3" xfId="19368" xr:uid="{6D2268F5-A88F-4A56-B5FA-2229C0B21CA4}"/>
    <cellStyle name="40% - Accent5 2 8 4" xfId="10894" xr:uid="{C1B3EB92-DA0C-4C3B-B54E-82B6C525C034}"/>
    <cellStyle name="40% - Accent5 2 9" xfId="4585" xr:uid="{00000000-0005-0000-0000-000091060000}"/>
    <cellStyle name="40% - Accent5 2 9 2" xfId="21520" xr:uid="{1C9142A6-70DE-4DC7-99F2-F2E54600C5DB}"/>
    <cellStyle name="40% - Accent5 2 9 3" xfId="13079" xr:uid="{3A531284-1B97-4E07-81F5-3596B48BF79F}"/>
    <cellStyle name="40% - Accent5 3" xfId="86" xr:uid="{00000000-0005-0000-0000-000092060000}"/>
    <cellStyle name="40% - Accent5 3 10" xfId="8821" xr:uid="{F327BA6D-B365-4556-AE86-1D82CB389562}"/>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084" xr:uid="{F123ACB6-E91A-4731-A36F-326D8DBC321A}"/>
    <cellStyle name="40% - Accent5 3 2 2 2 2 3" xfId="15643" xr:uid="{EAE06338-81EA-401F-B765-7A59F2598920}"/>
    <cellStyle name="40% - Accent5 3 2 2 2 3" xfId="19866" xr:uid="{A2F90E15-EF72-4EFF-87EE-A66D48B3BA8E}"/>
    <cellStyle name="40% - Accent5 3 2 2 2 4" xfId="11424" xr:uid="{43420ACB-F7F2-4DC9-B849-2D534B5D5A93}"/>
    <cellStyle name="40% - Accent5 3 2 2 3" xfId="5004" xr:uid="{00000000-0005-0000-0000-000097060000}"/>
    <cellStyle name="40% - Accent5 3 2 2 3 2" xfId="21939" xr:uid="{D3B50DF4-7162-4073-99D8-A97CA8AD3303}"/>
    <cellStyle name="40% - Accent5 3 2 2 3 3" xfId="13498" xr:uid="{A5E4EA51-DE4D-453C-9EED-E895C658C7A7}"/>
    <cellStyle name="40% - Accent5 3 2 2 4" xfId="17721" xr:uid="{D95B9980-C121-49F2-8D64-1C04A4239A7C}"/>
    <cellStyle name="40% - Accent5 3 2 2 5" xfId="9246" xr:uid="{06AA62E8-76AA-475F-AB3C-CDD9F2CE6D15}"/>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4497" xr:uid="{D4EE0243-D7E6-4E5E-911D-95E1A0FC3F9C}"/>
    <cellStyle name="40% - Accent5 3 2 3 2 2 3" xfId="16056" xr:uid="{A8CC8C9C-53F7-4FEE-9E45-189950410483}"/>
    <cellStyle name="40% - Accent5 3 2 3 2 3" xfId="20279" xr:uid="{08B9CFC4-69EC-49A3-BC20-5FA5A9B94A9C}"/>
    <cellStyle name="40% - Accent5 3 2 3 2 4" xfId="11837" xr:uid="{EF261158-16EC-4A29-9A62-A357A3D16A61}"/>
    <cellStyle name="40% - Accent5 3 2 3 3" xfId="5417" xr:uid="{00000000-0005-0000-0000-00009B060000}"/>
    <cellStyle name="40% - Accent5 3 2 3 3 2" xfId="22352" xr:uid="{50CD530B-1BAF-40E1-AF21-AAAC36A5E0EC}"/>
    <cellStyle name="40% - Accent5 3 2 3 3 3" xfId="13911" xr:uid="{B53C7611-024A-4E4A-889E-E623E2EEA0DF}"/>
    <cellStyle name="40% - Accent5 3 2 3 4" xfId="18134" xr:uid="{EFA98200-6C69-45C8-98CC-C19075578C12}"/>
    <cellStyle name="40% - Accent5 3 2 3 5" xfId="9660" xr:uid="{B98EBE4F-6666-46F0-B65B-EAF1A824387B}"/>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4910" xr:uid="{E8C3C077-6196-4B3F-9E96-B35C716542C9}"/>
    <cellStyle name="40% - Accent5 3 2 4 2 2 3" xfId="16469" xr:uid="{673946DD-74C5-4F4C-949F-72FE361FB5E8}"/>
    <cellStyle name="40% - Accent5 3 2 4 2 3" xfId="20692" xr:uid="{F2FABA38-2772-42A3-A4A5-57ADE5D4D59B}"/>
    <cellStyle name="40% - Accent5 3 2 4 2 4" xfId="12250" xr:uid="{7C7BC09D-F872-4F79-92DD-DB996957A630}"/>
    <cellStyle name="40% - Accent5 3 2 4 3" xfId="5830" xr:uid="{00000000-0005-0000-0000-00009F060000}"/>
    <cellStyle name="40% - Accent5 3 2 4 3 2" xfId="22765" xr:uid="{514A704A-03A4-4FBA-92AE-3C36C625449F}"/>
    <cellStyle name="40% - Accent5 3 2 4 3 3" xfId="14324" xr:uid="{ACB1225A-AF7A-48E5-A347-E401EF57D04E}"/>
    <cellStyle name="40% - Accent5 3 2 4 4" xfId="18547" xr:uid="{036B8239-3462-4804-B4B4-27EC311BF818}"/>
    <cellStyle name="40% - Accent5 3 2 4 5" xfId="10073" xr:uid="{34D46C8D-087C-461B-9F9B-2AF849F6C1CA}"/>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5323" xr:uid="{EA442D0D-B544-4A05-B04E-5F7A45907E37}"/>
    <cellStyle name="40% - Accent5 3 2 5 2 2 3" xfId="16882" xr:uid="{50BAAD2F-08A0-4758-8F19-9D2A78441918}"/>
    <cellStyle name="40% - Accent5 3 2 5 2 3" xfId="21105" xr:uid="{0B911B4E-C48B-49F8-B1A6-712BFFB95FEB}"/>
    <cellStyle name="40% - Accent5 3 2 5 2 4" xfId="12663" xr:uid="{25586DE9-DB77-43DB-B9D1-1003F23C4684}"/>
    <cellStyle name="40% - Accent5 3 2 5 3" xfId="6243" xr:uid="{00000000-0005-0000-0000-0000A3060000}"/>
    <cellStyle name="40% - Accent5 3 2 5 3 2" xfId="23178" xr:uid="{01E7B8D4-5959-452C-BE0C-A0FD70FF3917}"/>
    <cellStyle name="40% - Accent5 3 2 5 3 3" xfId="14737" xr:uid="{BDE67EA7-1907-45B7-8ECC-EE1BDA393F00}"/>
    <cellStyle name="40% - Accent5 3 2 5 4" xfId="18960" xr:uid="{36E074F9-65BC-4F3D-980E-D1BE77DAFE7D}"/>
    <cellStyle name="40% - Accent5 3 2 5 5" xfId="10486" xr:uid="{F74FFD6A-7A97-483C-90F1-BEA5977C2DA8}"/>
    <cellStyle name="40% - Accent5 3 2 6" xfId="2350" xr:uid="{00000000-0005-0000-0000-0000A4060000}"/>
    <cellStyle name="40% - Accent5 3 2 6 2" xfId="6656" xr:uid="{00000000-0005-0000-0000-0000A5060000}"/>
    <cellStyle name="40% - Accent5 3 2 6 2 2" xfId="23591" xr:uid="{248E45B2-D253-4AF9-86D6-AB4C65E33455}"/>
    <cellStyle name="40% - Accent5 3 2 6 2 3" xfId="15150" xr:uid="{ABB02BCE-5B00-4CB7-8C2F-162799886508}"/>
    <cellStyle name="40% - Accent5 3 2 6 3" xfId="19373" xr:uid="{FE0053D6-1B1A-4749-9423-4BB261CFDBA2}"/>
    <cellStyle name="40% - Accent5 3 2 6 4" xfId="10899" xr:uid="{4BBE6FCC-CE8B-48C0-BF86-28CB4F806FE1}"/>
    <cellStyle name="40% - Accent5 3 2 7" xfId="4590" xr:uid="{00000000-0005-0000-0000-0000A6060000}"/>
    <cellStyle name="40% - Accent5 3 2 7 2" xfId="21525" xr:uid="{E3D445EA-2967-4593-A2CC-2556E5B42D34}"/>
    <cellStyle name="40% - Accent5 3 2 7 3" xfId="13084" xr:uid="{5086A095-73DB-4675-AB37-2A6FD4FF1D8E}"/>
    <cellStyle name="40% - Accent5 3 2 8" xfId="17307" xr:uid="{45976666-AC92-4C14-837B-FBD5E84C6DA1}"/>
    <cellStyle name="40% - Accent5 3 2 9" xfId="8822" xr:uid="{4160CC46-66F6-4263-A663-58F5A410CB36}"/>
    <cellStyle name="40% - Accent5 3 3" xfId="655" xr:uid="{00000000-0005-0000-0000-0000A7060000}"/>
    <cellStyle name="40% - Accent5 3 3 2" xfId="2926" xr:uid="{00000000-0005-0000-0000-0000A8060000}"/>
    <cellStyle name="40% - Accent5 3 3 2 2" xfId="7148" xr:uid="{00000000-0005-0000-0000-0000A9060000}"/>
    <cellStyle name="40% - Accent5 3 3 2 2 2" xfId="24083" xr:uid="{B1275791-7EA4-4662-A3B6-1F814519B006}"/>
    <cellStyle name="40% - Accent5 3 3 2 2 3" xfId="15642" xr:uid="{4A403F45-08B9-4FA3-A383-31A3E380D37A}"/>
    <cellStyle name="40% - Accent5 3 3 2 3" xfId="19865" xr:uid="{DB71C82A-3628-4B87-866D-6FCABB5C6975}"/>
    <cellStyle name="40% - Accent5 3 3 2 4" xfId="11423" xr:uid="{A1A00A7B-6D72-4672-8F09-5FD7232AA5A3}"/>
    <cellStyle name="40% - Accent5 3 3 3" xfId="5003" xr:uid="{00000000-0005-0000-0000-0000AA060000}"/>
    <cellStyle name="40% - Accent5 3 3 3 2" xfId="21938" xr:uid="{CD4B626C-4495-47BA-A438-56CEBCBFB3B9}"/>
    <cellStyle name="40% - Accent5 3 3 3 3" xfId="13497" xr:uid="{012B925B-F987-45EB-9FE3-7C922346D7C5}"/>
    <cellStyle name="40% - Accent5 3 3 4" xfId="17720" xr:uid="{1BBB494F-86AD-48C5-ADDF-BB10FD1E8778}"/>
    <cellStyle name="40% - Accent5 3 3 5" xfId="9245" xr:uid="{F2355359-DD8D-4917-AF59-C38D8A9C823D}"/>
    <cellStyle name="40% - Accent5 3 4" xfId="1108" xr:uid="{00000000-0005-0000-0000-0000AB060000}"/>
    <cellStyle name="40% - Accent5 3 4 2" xfId="3339" xr:uid="{00000000-0005-0000-0000-0000AC060000}"/>
    <cellStyle name="40% - Accent5 3 4 2 2" xfId="7561" xr:uid="{00000000-0005-0000-0000-0000AD060000}"/>
    <cellStyle name="40% - Accent5 3 4 2 2 2" xfId="24496" xr:uid="{8C6D1F90-0DB5-4CBE-AA48-09AE454B29B8}"/>
    <cellStyle name="40% - Accent5 3 4 2 2 3" xfId="16055" xr:uid="{33096475-8F8B-4EA0-BFEE-8C65AFC22D8B}"/>
    <cellStyle name="40% - Accent5 3 4 2 3" xfId="20278" xr:uid="{2F29EB98-4D7A-45F2-9BA8-0444B0BFEF89}"/>
    <cellStyle name="40% - Accent5 3 4 2 4" xfId="11836" xr:uid="{EC30B4DE-9FC0-47BC-BF24-1AC16B2D659A}"/>
    <cellStyle name="40% - Accent5 3 4 3" xfId="5416" xr:uid="{00000000-0005-0000-0000-0000AE060000}"/>
    <cellStyle name="40% - Accent5 3 4 3 2" xfId="22351" xr:uid="{4FC21E6D-0803-41E9-BFF4-5096E2A45517}"/>
    <cellStyle name="40% - Accent5 3 4 3 3" xfId="13910" xr:uid="{4873A118-2635-4F78-8EDE-367DBDB34477}"/>
    <cellStyle name="40% - Accent5 3 4 4" xfId="18133" xr:uid="{2EF4E6EB-15C2-408A-9ED6-999A662FF415}"/>
    <cellStyle name="40% - Accent5 3 4 5" xfId="9659" xr:uid="{AC4858BF-7A5B-4698-9B8E-C9A42F7D4C87}"/>
    <cellStyle name="40% - Accent5 3 5" xfId="1522" xr:uid="{00000000-0005-0000-0000-0000AF060000}"/>
    <cellStyle name="40% - Accent5 3 5 2" xfId="3752" xr:uid="{00000000-0005-0000-0000-0000B0060000}"/>
    <cellStyle name="40% - Accent5 3 5 2 2" xfId="7974" xr:uid="{00000000-0005-0000-0000-0000B1060000}"/>
    <cellStyle name="40% - Accent5 3 5 2 2 2" xfId="24909" xr:uid="{1FE66BB4-20A1-4FE6-8A2E-A280EB9BB8AD}"/>
    <cellStyle name="40% - Accent5 3 5 2 2 3" xfId="16468" xr:uid="{924BDBB8-8771-41FD-8228-5EEF2F5DFC6A}"/>
    <cellStyle name="40% - Accent5 3 5 2 3" xfId="20691" xr:uid="{D68ADB30-96E2-4E37-A754-5B88E74951E4}"/>
    <cellStyle name="40% - Accent5 3 5 2 4" xfId="12249" xr:uid="{1CBC13FD-74E7-444C-8FC5-7BED542539F1}"/>
    <cellStyle name="40% - Accent5 3 5 3" xfId="5829" xr:uid="{00000000-0005-0000-0000-0000B2060000}"/>
    <cellStyle name="40% - Accent5 3 5 3 2" xfId="22764" xr:uid="{0AC46CEC-4E09-4DE7-8713-2309710B64BE}"/>
    <cellStyle name="40% - Accent5 3 5 3 3" xfId="14323" xr:uid="{BF5DEA66-1773-4DE3-9D6C-6675D2C1D44D}"/>
    <cellStyle name="40% - Accent5 3 5 4" xfId="18546" xr:uid="{3A8DE634-D03B-46A3-83CE-6A8790442FF9}"/>
    <cellStyle name="40% - Accent5 3 5 5" xfId="10072" xr:uid="{E14F698D-935A-488F-94C1-077EC19FECE8}"/>
    <cellStyle name="40% - Accent5 3 6" xfId="1936" xr:uid="{00000000-0005-0000-0000-0000B3060000}"/>
    <cellStyle name="40% - Accent5 3 6 2" xfId="4165" xr:uid="{00000000-0005-0000-0000-0000B4060000}"/>
    <cellStyle name="40% - Accent5 3 6 2 2" xfId="8387" xr:uid="{00000000-0005-0000-0000-0000B5060000}"/>
    <cellStyle name="40% - Accent5 3 6 2 2 2" xfId="25322" xr:uid="{41EAFC11-912E-44BA-BFE3-CAE7E195EBA4}"/>
    <cellStyle name="40% - Accent5 3 6 2 2 3" xfId="16881" xr:uid="{0DD10DF8-D81A-4D5D-AD31-D3C3CB4C7155}"/>
    <cellStyle name="40% - Accent5 3 6 2 3" xfId="21104" xr:uid="{17F7814A-394A-4538-A17D-9218034B56D8}"/>
    <cellStyle name="40% - Accent5 3 6 2 4" xfId="12662" xr:uid="{1B2F3102-89D8-4D8B-8B97-C7B69F26D4FE}"/>
    <cellStyle name="40% - Accent5 3 6 3" xfId="6242" xr:uid="{00000000-0005-0000-0000-0000B6060000}"/>
    <cellStyle name="40% - Accent5 3 6 3 2" xfId="23177" xr:uid="{C515DF90-2EC7-4C10-B017-872E91D2600E}"/>
    <cellStyle name="40% - Accent5 3 6 3 3" xfId="14736" xr:uid="{10A6AF6C-1C4A-47AD-818B-2F00742668B0}"/>
    <cellStyle name="40% - Accent5 3 6 4" xfId="18959" xr:uid="{EE88AB51-B10C-41B5-A298-8A2367F4BD63}"/>
    <cellStyle name="40% - Accent5 3 6 5" xfId="10485" xr:uid="{B422F5F9-3476-4C40-96A6-55494131ABFC}"/>
    <cellStyle name="40% - Accent5 3 7" xfId="2349" xr:uid="{00000000-0005-0000-0000-0000B7060000}"/>
    <cellStyle name="40% - Accent5 3 7 2" xfId="6655" xr:uid="{00000000-0005-0000-0000-0000B8060000}"/>
    <cellStyle name="40% - Accent5 3 7 2 2" xfId="23590" xr:uid="{037EC4F8-1344-4AE6-8B47-53150949BCC3}"/>
    <cellStyle name="40% - Accent5 3 7 2 3" xfId="15149" xr:uid="{B2EF22D0-BC35-40B4-A636-6590DDB5B428}"/>
    <cellStyle name="40% - Accent5 3 7 3" xfId="19372" xr:uid="{C0CC8670-95DA-4CDF-9FA4-EEAFE8E6C422}"/>
    <cellStyle name="40% - Accent5 3 7 4" xfId="10898" xr:uid="{B9AE53A8-E976-4F8A-8327-C024BE2C6BA9}"/>
    <cellStyle name="40% - Accent5 3 8" xfId="4589" xr:uid="{00000000-0005-0000-0000-0000B9060000}"/>
    <cellStyle name="40% - Accent5 3 8 2" xfId="21524" xr:uid="{615A71A9-1CC8-4DC6-B306-E35ED30523AB}"/>
    <cellStyle name="40% - Accent5 3 8 3" xfId="13083" xr:uid="{BFF200C0-4C85-4747-A669-141B3070BE26}"/>
    <cellStyle name="40% - Accent5 3 9" xfId="17306" xr:uid="{8C4E77FB-B651-4542-9C86-C80C052E1C4E}"/>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24085" xr:uid="{00971D81-E51E-48D5-8137-C9FA1378B114}"/>
    <cellStyle name="40% - Accent5 4 2 2 2 3" xfId="15644" xr:uid="{0CFF76A7-EC0A-4BDF-BFC3-C797FB0B125B}"/>
    <cellStyle name="40% - Accent5 4 2 2 3" xfId="19867" xr:uid="{EBAB8B37-06FC-4706-A970-3896F5DD2F52}"/>
    <cellStyle name="40% - Accent5 4 2 2 4" xfId="11425" xr:uid="{27C29305-BBB7-401D-85FC-196E6629A0F8}"/>
    <cellStyle name="40% - Accent5 4 2 3" xfId="5005" xr:uid="{00000000-0005-0000-0000-0000BE060000}"/>
    <cellStyle name="40% - Accent5 4 2 3 2" xfId="21940" xr:uid="{21F8D1A0-679A-42EE-B327-5132B260D7AD}"/>
    <cellStyle name="40% - Accent5 4 2 3 3" xfId="13499" xr:uid="{D754ADA9-253E-45BE-AFB4-D42EF673D1C2}"/>
    <cellStyle name="40% - Accent5 4 2 4" xfId="17722" xr:uid="{36EA3EF5-C1A8-45E4-95C5-A0A1E2F25EB9}"/>
    <cellStyle name="40% - Accent5 4 2 5" xfId="9247" xr:uid="{2D49F0C4-FCD1-497D-B54D-F7F57262B287}"/>
    <cellStyle name="40% - Accent5 4 3" xfId="1110" xr:uid="{00000000-0005-0000-0000-0000BF060000}"/>
    <cellStyle name="40% - Accent5 4 3 2" xfId="3341" xr:uid="{00000000-0005-0000-0000-0000C0060000}"/>
    <cellStyle name="40% - Accent5 4 3 2 2" xfId="7563" xr:uid="{00000000-0005-0000-0000-0000C1060000}"/>
    <cellStyle name="40% - Accent5 4 3 2 2 2" xfId="24498" xr:uid="{675B0556-C3BB-4172-8531-43600CF2EC10}"/>
    <cellStyle name="40% - Accent5 4 3 2 2 3" xfId="16057" xr:uid="{6ABD38AC-563D-4E23-B559-D4930F57516F}"/>
    <cellStyle name="40% - Accent5 4 3 2 3" xfId="20280" xr:uid="{967651B5-7677-45B9-96EF-EF58E3D16F60}"/>
    <cellStyle name="40% - Accent5 4 3 2 4" xfId="11838" xr:uid="{94D7830E-FEA1-4F19-9206-06E3733F7763}"/>
    <cellStyle name="40% - Accent5 4 3 3" xfId="5418" xr:uid="{00000000-0005-0000-0000-0000C2060000}"/>
    <cellStyle name="40% - Accent5 4 3 3 2" xfId="22353" xr:uid="{15CCCD2F-B756-4007-9809-9294AC75CA97}"/>
    <cellStyle name="40% - Accent5 4 3 3 3" xfId="13912" xr:uid="{DB98037A-7BB4-4113-9FBF-39E833AA65C5}"/>
    <cellStyle name="40% - Accent5 4 3 4" xfId="18135" xr:uid="{D44D45C0-BA56-482F-A6BC-DE86FAAC847F}"/>
    <cellStyle name="40% - Accent5 4 3 5" xfId="9661" xr:uid="{E80E52A3-A4E5-4A32-808C-5DB453EF1B2D}"/>
    <cellStyle name="40% - Accent5 4 4" xfId="1524" xr:uid="{00000000-0005-0000-0000-0000C3060000}"/>
    <cellStyle name="40% - Accent5 4 4 2" xfId="3754" xr:uid="{00000000-0005-0000-0000-0000C4060000}"/>
    <cellStyle name="40% - Accent5 4 4 2 2" xfId="7976" xr:uid="{00000000-0005-0000-0000-0000C5060000}"/>
    <cellStyle name="40% - Accent5 4 4 2 2 2" xfId="24911" xr:uid="{2D92FA8F-2D45-44F8-B838-E41CEEA488C6}"/>
    <cellStyle name="40% - Accent5 4 4 2 2 3" xfId="16470" xr:uid="{3DCFA377-A017-4AAD-9753-04A961B8A010}"/>
    <cellStyle name="40% - Accent5 4 4 2 3" xfId="20693" xr:uid="{BF88B3B5-0978-4B35-9B08-101E9DF2B154}"/>
    <cellStyle name="40% - Accent5 4 4 2 4" xfId="12251" xr:uid="{80D6CBC5-BFA5-4F0D-BD5F-01B81255AA05}"/>
    <cellStyle name="40% - Accent5 4 4 3" xfId="5831" xr:uid="{00000000-0005-0000-0000-0000C6060000}"/>
    <cellStyle name="40% - Accent5 4 4 3 2" xfId="22766" xr:uid="{4B661351-FAD6-4A65-B1A2-21706499BC2E}"/>
    <cellStyle name="40% - Accent5 4 4 3 3" xfId="14325" xr:uid="{E735C193-6D95-4119-AA68-796172E77925}"/>
    <cellStyle name="40% - Accent5 4 4 4" xfId="18548" xr:uid="{3B3BA891-E774-44E6-AE80-FB33C405B75A}"/>
    <cellStyle name="40% - Accent5 4 4 5" xfId="10074" xr:uid="{D060D8DA-3AEC-461A-A847-EE4434F7A5D8}"/>
    <cellStyle name="40% - Accent5 4 5" xfId="1938" xr:uid="{00000000-0005-0000-0000-0000C7060000}"/>
    <cellStyle name="40% - Accent5 4 5 2" xfId="4167" xr:uid="{00000000-0005-0000-0000-0000C8060000}"/>
    <cellStyle name="40% - Accent5 4 5 2 2" xfId="8389" xr:uid="{00000000-0005-0000-0000-0000C9060000}"/>
    <cellStyle name="40% - Accent5 4 5 2 2 2" xfId="25324" xr:uid="{6612B86A-6804-4FE8-97FC-C7C6C24F6C60}"/>
    <cellStyle name="40% - Accent5 4 5 2 2 3" xfId="16883" xr:uid="{73B975A0-68DB-4799-AA9B-10F1BC20DB54}"/>
    <cellStyle name="40% - Accent5 4 5 2 3" xfId="21106" xr:uid="{4C38A620-7702-424A-98AC-08B1B0EF9A8A}"/>
    <cellStyle name="40% - Accent5 4 5 2 4" xfId="12664" xr:uid="{B04C0291-53B7-427A-940D-8A44ADCF2E6E}"/>
    <cellStyle name="40% - Accent5 4 5 3" xfId="6244" xr:uid="{00000000-0005-0000-0000-0000CA060000}"/>
    <cellStyle name="40% - Accent5 4 5 3 2" xfId="23179" xr:uid="{E1027990-38D5-427D-A9ED-DBFD9CABE645}"/>
    <cellStyle name="40% - Accent5 4 5 3 3" xfId="14738" xr:uid="{BCA04547-BF33-40E8-A246-A0AF6F7FF46A}"/>
    <cellStyle name="40% - Accent5 4 5 4" xfId="18961" xr:uid="{860E7E00-9573-466D-BE11-0AE119DD5F54}"/>
    <cellStyle name="40% - Accent5 4 5 5" xfId="10487" xr:uid="{F5E0838D-BC63-4927-92DC-DFB6460CE517}"/>
    <cellStyle name="40% - Accent5 4 6" xfId="2351" xr:uid="{00000000-0005-0000-0000-0000CB060000}"/>
    <cellStyle name="40% - Accent5 4 6 2" xfId="6657" xr:uid="{00000000-0005-0000-0000-0000CC060000}"/>
    <cellStyle name="40% - Accent5 4 6 2 2" xfId="23592" xr:uid="{9522642F-CC24-4863-9810-BB724A074837}"/>
    <cellStyle name="40% - Accent5 4 6 2 3" xfId="15151" xr:uid="{DAF6E473-CE4E-4FF4-8FAC-45E2A4CEE2D3}"/>
    <cellStyle name="40% - Accent5 4 6 3" xfId="19374" xr:uid="{5AEE2410-376D-4E7B-A3BC-F7F6B458FD7F}"/>
    <cellStyle name="40% - Accent5 4 6 4" xfId="10900" xr:uid="{443F1F79-A44A-4C06-AD37-C82F7AE1AA43}"/>
    <cellStyle name="40% - Accent5 4 7" xfId="4591" xr:uid="{00000000-0005-0000-0000-0000CD060000}"/>
    <cellStyle name="40% - Accent5 4 7 2" xfId="21526" xr:uid="{E1AAF220-E0FB-4311-954C-E3CB66E48471}"/>
    <cellStyle name="40% - Accent5 4 7 3" xfId="13085" xr:uid="{B4A4B0D8-DAE3-4356-B7CC-21F180C478A1}"/>
    <cellStyle name="40% - Accent5 4 8" xfId="17308" xr:uid="{24746E1C-30A3-4B37-8E0F-B0447803D984}"/>
    <cellStyle name="40% - Accent5 4 9" xfId="8823" xr:uid="{8EDB06FC-769B-4E3B-A7B8-3064524843E2}"/>
    <cellStyle name="40% - Accent5 5" xfId="650" xr:uid="{00000000-0005-0000-0000-0000CE060000}"/>
    <cellStyle name="40% - Accent5 5 2" xfId="2921" xr:uid="{00000000-0005-0000-0000-0000CF060000}"/>
    <cellStyle name="40% - Accent5 5 2 2" xfId="7143" xr:uid="{00000000-0005-0000-0000-0000D0060000}"/>
    <cellStyle name="40% - Accent5 5 2 2 2" xfId="24078" xr:uid="{37073E49-4703-4937-8662-A7B6702F15F5}"/>
    <cellStyle name="40% - Accent5 5 2 2 3" xfId="15637" xr:uid="{526CB79D-5BC6-43F5-B260-6361949B0591}"/>
    <cellStyle name="40% - Accent5 5 2 3" xfId="19860" xr:uid="{4DF9CCCF-D2A2-419E-BAAA-C7032BCDABBC}"/>
    <cellStyle name="40% - Accent5 5 2 4" xfId="11418" xr:uid="{A031D1F2-DCD6-4BAE-83AA-EF4A759B0365}"/>
    <cellStyle name="40% - Accent5 5 3" xfId="4998" xr:uid="{00000000-0005-0000-0000-0000D1060000}"/>
    <cellStyle name="40% - Accent5 5 3 2" xfId="21933" xr:uid="{0A202BA5-DD0A-47BF-A5E4-C5496CCDFFF2}"/>
    <cellStyle name="40% - Accent5 5 3 3" xfId="13492" xr:uid="{31710F56-82F6-4F2A-8E7E-280DB2A1F87F}"/>
    <cellStyle name="40% - Accent5 5 4" xfId="17715" xr:uid="{D8BD0D6C-C06B-48C1-B3CF-084B8303C82E}"/>
    <cellStyle name="40% - Accent5 5 5" xfId="9240" xr:uid="{98312132-752D-462D-9B9A-43693DA9B950}"/>
    <cellStyle name="40% - Accent5 6" xfId="1103" xr:uid="{00000000-0005-0000-0000-0000D2060000}"/>
    <cellStyle name="40% - Accent5 6 2" xfId="3334" xr:uid="{00000000-0005-0000-0000-0000D3060000}"/>
    <cellStyle name="40% - Accent5 6 2 2" xfId="7556" xr:uid="{00000000-0005-0000-0000-0000D4060000}"/>
    <cellStyle name="40% - Accent5 6 2 2 2" xfId="24491" xr:uid="{8025CDE9-E0BC-438C-A2D3-1E5F2A81135E}"/>
    <cellStyle name="40% - Accent5 6 2 2 3" xfId="16050" xr:uid="{FE9A068A-A07C-4703-A62C-A168D57F7959}"/>
    <cellStyle name="40% - Accent5 6 2 3" xfId="20273" xr:uid="{1FD3B282-FDDD-48E1-95CA-E4E4A61C6407}"/>
    <cellStyle name="40% - Accent5 6 2 4" xfId="11831" xr:uid="{28150A2B-72F2-47D1-ADFC-A7E1E500B238}"/>
    <cellStyle name="40% - Accent5 6 3" xfId="5411" xr:uid="{00000000-0005-0000-0000-0000D5060000}"/>
    <cellStyle name="40% - Accent5 6 3 2" xfId="22346" xr:uid="{860B8FC7-3AC3-4CD2-B405-5F1918A2EF95}"/>
    <cellStyle name="40% - Accent5 6 3 3" xfId="13905" xr:uid="{4807EEFE-1985-452C-8D04-6E279CF654A1}"/>
    <cellStyle name="40% - Accent5 6 4" xfId="18128" xr:uid="{EB50A2F0-CF2B-44BA-A605-7C8E81813DCD}"/>
    <cellStyle name="40% - Accent5 6 5" xfId="9654" xr:uid="{86C98A1B-2D68-4766-9CE9-359551467EC3}"/>
    <cellStyle name="40% - Accent5 7" xfId="1517" xr:uid="{00000000-0005-0000-0000-0000D6060000}"/>
    <cellStyle name="40% - Accent5 7 2" xfId="3747" xr:uid="{00000000-0005-0000-0000-0000D7060000}"/>
    <cellStyle name="40% - Accent5 7 2 2" xfId="7969" xr:uid="{00000000-0005-0000-0000-0000D8060000}"/>
    <cellStyle name="40% - Accent5 7 2 2 2" xfId="24904" xr:uid="{5445A619-6C58-4CE4-95A5-9062BAE50176}"/>
    <cellStyle name="40% - Accent5 7 2 2 3" xfId="16463" xr:uid="{EC27E0F2-CD2F-4945-9610-5DE088BF7416}"/>
    <cellStyle name="40% - Accent5 7 2 3" xfId="20686" xr:uid="{086BD640-AA21-4DA8-93C5-615601568D64}"/>
    <cellStyle name="40% - Accent5 7 2 4" xfId="12244" xr:uid="{E31E2A52-383E-4273-8234-74B9388282E9}"/>
    <cellStyle name="40% - Accent5 7 3" xfId="5824" xr:uid="{00000000-0005-0000-0000-0000D9060000}"/>
    <cellStyle name="40% - Accent5 7 3 2" xfId="22759" xr:uid="{D5ECD411-0676-44BD-BEA9-0B90C7D71C6C}"/>
    <cellStyle name="40% - Accent5 7 3 3" xfId="14318" xr:uid="{DA243A8E-CAE3-429D-B8A5-F792CD7F40A5}"/>
    <cellStyle name="40% - Accent5 7 4" xfId="18541" xr:uid="{39613497-02D6-4043-A41C-2E2219AEA298}"/>
    <cellStyle name="40% - Accent5 7 5" xfId="10067" xr:uid="{DBDE6FA5-AFBE-48BC-A63D-8415311C9B88}"/>
    <cellStyle name="40% - Accent5 8" xfId="1931" xr:uid="{00000000-0005-0000-0000-0000DA060000}"/>
    <cellStyle name="40% - Accent5 8 2" xfId="4160" xr:uid="{00000000-0005-0000-0000-0000DB060000}"/>
    <cellStyle name="40% - Accent5 8 2 2" xfId="8382" xr:uid="{00000000-0005-0000-0000-0000DC060000}"/>
    <cellStyle name="40% - Accent5 8 2 2 2" xfId="25317" xr:uid="{38956777-0E53-4663-B00C-B49F3E2230D0}"/>
    <cellStyle name="40% - Accent5 8 2 2 3" xfId="16876" xr:uid="{3D32216A-DE8D-41A9-92C5-CB83B40D31FD}"/>
    <cellStyle name="40% - Accent5 8 2 3" xfId="21099" xr:uid="{07634740-94E0-4428-85AD-4C24A9205F3F}"/>
    <cellStyle name="40% - Accent5 8 2 4" xfId="12657" xr:uid="{C9F3EA27-AE67-40CD-A2F6-8CB2DF85855F}"/>
    <cellStyle name="40% - Accent5 8 3" xfId="6237" xr:uid="{00000000-0005-0000-0000-0000DD060000}"/>
    <cellStyle name="40% - Accent5 8 3 2" xfId="23172" xr:uid="{E1A50045-B542-4786-B92F-BDA99B5F49C4}"/>
    <cellStyle name="40% - Accent5 8 3 3" xfId="14731" xr:uid="{4A4552D1-C075-43A2-81E8-3CC4A69513E3}"/>
    <cellStyle name="40% - Accent5 8 4" xfId="18954" xr:uid="{8A2FE273-0C42-4EC6-B044-BBE277B34C8A}"/>
    <cellStyle name="40% - Accent5 8 5" xfId="10480" xr:uid="{3457D31C-B445-4AF8-8C86-4331FBCF1389}"/>
    <cellStyle name="40% - Accent5 9" xfId="2344" xr:uid="{00000000-0005-0000-0000-0000DE060000}"/>
    <cellStyle name="40% - Accent5 9 2" xfId="6650" xr:uid="{00000000-0005-0000-0000-0000DF060000}"/>
    <cellStyle name="40% - Accent5 9 2 2" xfId="23585" xr:uid="{E9C08EBB-E232-4EDA-A067-D1020DE36D79}"/>
    <cellStyle name="40% - Accent5 9 2 3" xfId="15144" xr:uid="{16F158F2-3989-42DE-AD0D-2A2D37F8F9CD}"/>
    <cellStyle name="40% - Accent5 9 3" xfId="19367" xr:uid="{74F4A2A0-8EC9-4C9D-AC93-4D8C2327CDE1}"/>
    <cellStyle name="40% - Accent5 9 4" xfId="10893" xr:uid="{BD98C719-BD17-4007-8249-7136E23C3AAC}"/>
    <cellStyle name="40% - Accent6" xfId="89" builtinId="51" customBuiltin="1"/>
    <cellStyle name="40% - Accent6 10" xfId="4592" xr:uid="{00000000-0005-0000-0000-0000E1060000}"/>
    <cellStyle name="40% - Accent6 10 2" xfId="21527" xr:uid="{80D5C510-F885-4BD7-B167-2C6CBF7AF579}"/>
    <cellStyle name="40% - Accent6 10 3" xfId="13086" xr:uid="{9CF8D794-45E0-4297-AAAF-42F169063A65}"/>
    <cellStyle name="40% - Accent6 11" xfId="17309" xr:uid="{9CB47777-A6AF-4E52-A6E4-BA1D879B19D4}"/>
    <cellStyle name="40% - Accent6 12" xfId="8824" xr:uid="{26D8D697-1F7A-40FB-9EA8-755749253A1F}"/>
    <cellStyle name="40% - Accent6 2" xfId="90" xr:uid="{00000000-0005-0000-0000-0000E2060000}"/>
    <cellStyle name="40% - Accent6 2 10" xfId="17310" xr:uid="{88414333-9628-49B4-AA3E-881947408DAF}"/>
    <cellStyle name="40% - Accent6 2 11" xfId="8825" xr:uid="{96B420D5-24E2-43F9-A28C-B7ABB84E0BFA}"/>
    <cellStyle name="40% - Accent6 2 2" xfId="91" xr:uid="{00000000-0005-0000-0000-0000E3060000}"/>
    <cellStyle name="40% - Accent6 2 2 10" xfId="8826" xr:uid="{53FE1C96-5311-49F4-8A8C-DD84D874098E}"/>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089" xr:uid="{F82F717C-5950-4E9A-B058-F81E4AF1FE07}"/>
    <cellStyle name="40% - Accent6 2 2 2 2 2 2 3" xfId="15648" xr:uid="{D15BCE52-2857-4278-A505-74630291A1B8}"/>
    <cellStyle name="40% - Accent6 2 2 2 2 2 3" xfId="19871" xr:uid="{C08705C5-E3E0-4CA9-A40A-5D4206B6B132}"/>
    <cellStyle name="40% - Accent6 2 2 2 2 2 4" xfId="11429" xr:uid="{9A5C1523-C107-4E87-ACE4-E580371CFEB2}"/>
    <cellStyle name="40% - Accent6 2 2 2 2 3" xfId="5009" xr:uid="{00000000-0005-0000-0000-0000E8060000}"/>
    <cellStyle name="40% - Accent6 2 2 2 2 3 2" xfId="21944" xr:uid="{3D1C4C7C-5260-486D-B8ED-B99B6739CC46}"/>
    <cellStyle name="40% - Accent6 2 2 2 2 3 3" xfId="13503" xr:uid="{FD20910B-965B-4240-98F7-C78B45A7F413}"/>
    <cellStyle name="40% - Accent6 2 2 2 2 4" xfId="17726" xr:uid="{FE96B6A9-5405-4B4F-AE7C-3CAD4F9C1930}"/>
    <cellStyle name="40% - Accent6 2 2 2 2 5" xfId="9251" xr:uid="{B475715E-477C-43C2-9863-A8936BF694F7}"/>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4502" xr:uid="{709EBB87-EEFF-4212-988B-32AE3B4B4A6D}"/>
    <cellStyle name="40% - Accent6 2 2 2 3 2 2 3" xfId="16061" xr:uid="{D1592A2C-5529-45F9-96BF-0C14971B1B3B}"/>
    <cellStyle name="40% - Accent6 2 2 2 3 2 3" xfId="20284" xr:uid="{93786115-6C9E-4917-926D-20B9E67B0BD9}"/>
    <cellStyle name="40% - Accent6 2 2 2 3 2 4" xfId="11842" xr:uid="{6A2092E8-0D35-4ECC-92FB-0D26112806AA}"/>
    <cellStyle name="40% - Accent6 2 2 2 3 3" xfId="5422" xr:uid="{00000000-0005-0000-0000-0000EC060000}"/>
    <cellStyle name="40% - Accent6 2 2 2 3 3 2" xfId="22357" xr:uid="{B0E24E28-1B5C-473A-9F40-7B2A85552D2A}"/>
    <cellStyle name="40% - Accent6 2 2 2 3 3 3" xfId="13916" xr:uid="{00024F5C-9DC6-4743-9D57-453B3960FE1A}"/>
    <cellStyle name="40% - Accent6 2 2 2 3 4" xfId="18139" xr:uid="{902801DB-1161-4516-9B97-A4D211CE8930}"/>
    <cellStyle name="40% - Accent6 2 2 2 3 5" xfId="9665" xr:uid="{D98E4816-2593-4177-812C-A74ED792CCE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4915" xr:uid="{9B7FC220-A529-400B-BB7B-03BB752B5C80}"/>
    <cellStyle name="40% - Accent6 2 2 2 4 2 2 3" xfId="16474" xr:uid="{2022986B-437A-4C41-B704-63EAE6546FDC}"/>
    <cellStyle name="40% - Accent6 2 2 2 4 2 3" xfId="20697" xr:uid="{A13A5626-1189-468A-8236-9747DD470382}"/>
    <cellStyle name="40% - Accent6 2 2 2 4 2 4" xfId="12255" xr:uid="{6CFF25CC-35DE-466E-9833-5EE25CDAEF00}"/>
    <cellStyle name="40% - Accent6 2 2 2 4 3" xfId="5835" xr:uid="{00000000-0005-0000-0000-0000F0060000}"/>
    <cellStyle name="40% - Accent6 2 2 2 4 3 2" xfId="22770" xr:uid="{9AEF81C4-23FC-430C-8374-9D494BCDD51C}"/>
    <cellStyle name="40% - Accent6 2 2 2 4 3 3" xfId="14329" xr:uid="{E79E43E8-2540-48B6-8CB5-E5851244504F}"/>
    <cellStyle name="40% - Accent6 2 2 2 4 4" xfId="18552" xr:uid="{2D23F605-26BE-4810-92D8-EAE2864F4565}"/>
    <cellStyle name="40% - Accent6 2 2 2 4 5" xfId="10078" xr:uid="{A9C32981-7AE9-45A7-920E-0210629EA2B4}"/>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5328" xr:uid="{6D571498-8E8A-407F-BA34-803635608A67}"/>
    <cellStyle name="40% - Accent6 2 2 2 5 2 2 3" xfId="16887" xr:uid="{526EC919-965A-47E1-928E-3C73786665F2}"/>
    <cellStyle name="40% - Accent6 2 2 2 5 2 3" xfId="21110" xr:uid="{4A99D930-20F0-4E1E-9071-763BED40DB72}"/>
    <cellStyle name="40% - Accent6 2 2 2 5 2 4" xfId="12668" xr:uid="{E539231D-BEAC-4BAF-A1A3-C80A997B1ED2}"/>
    <cellStyle name="40% - Accent6 2 2 2 5 3" xfId="6248" xr:uid="{00000000-0005-0000-0000-0000F4060000}"/>
    <cellStyle name="40% - Accent6 2 2 2 5 3 2" xfId="23183" xr:uid="{D7BD85B3-A006-4875-88BA-DFE592FBB447}"/>
    <cellStyle name="40% - Accent6 2 2 2 5 3 3" xfId="14742" xr:uid="{C5313BF8-6830-487B-99CD-3F993D853C4E}"/>
    <cellStyle name="40% - Accent6 2 2 2 5 4" xfId="18965" xr:uid="{06A950AC-2C52-4BC2-8E04-BF386D0E77D9}"/>
    <cellStyle name="40% - Accent6 2 2 2 5 5" xfId="10491" xr:uid="{4B2DC098-896C-4CA4-967C-ECDD57C0EB14}"/>
    <cellStyle name="40% - Accent6 2 2 2 6" xfId="2355" xr:uid="{00000000-0005-0000-0000-0000F5060000}"/>
    <cellStyle name="40% - Accent6 2 2 2 6 2" xfId="6661" xr:uid="{00000000-0005-0000-0000-0000F6060000}"/>
    <cellStyle name="40% - Accent6 2 2 2 6 2 2" xfId="23596" xr:uid="{DBE64AF6-78C3-47E7-B616-7E5398CEF13B}"/>
    <cellStyle name="40% - Accent6 2 2 2 6 2 3" xfId="15155" xr:uid="{9D3374AB-DE38-4B6B-B781-C44CFAB7E90E}"/>
    <cellStyle name="40% - Accent6 2 2 2 6 3" xfId="19378" xr:uid="{1D95EBAD-E622-4A49-96BB-3C99C07FAB59}"/>
    <cellStyle name="40% - Accent6 2 2 2 6 4" xfId="10904" xr:uid="{00C3CE5C-5294-424E-913E-389B96B61A5C}"/>
    <cellStyle name="40% - Accent6 2 2 2 7" xfId="4595" xr:uid="{00000000-0005-0000-0000-0000F7060000}"/>
    <cellStyle name="40% - Accent6 2 2 2 7 2" xfId="21530" xr:uid="{FA66873F-71DF-4992-A097-36B27C6CD851}"/>
    <cellStyle name="40% - Accent6 2 2 2 7 3" xfId="13089" xr:uid="{B05EED60-9B52-4AFC-9A49-F5E47694BEEA}"/>
    <cellStyle name="40% - Accent6 2 2 2 8" xfId="17312" xr:uid="{62A5D7FA-0DAA-45FC-AF83-67662ABA3AA8}"/>
    <cellStyle name="40% - Accent6 2 2 2 9" xfId="8827" xr:uid="{7C55E5BD-4537-4499-B613-5D840F2B711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088" xr:uid="{A664541A-754C-4181-8351-D052C276FF57}"/>
    <cellStyle name="40% - Accent6 2 2 3 2 2 3" xfId="15647" xr:uid="{AAC1E359-F348-4A5D-9044-89C6338092FF}"/>
    <cellStyle name="40% - Accent6 2 2 3 2 3" xfId="19870" xr:uid="{11198693-7113-44AC-B410-F5BC575F712C}"/>
    <cellStyle name="40% - Accent6 2 2 3 2 4" xfId="11428" xr:uid="{A472059B-B3CA-4D24-AB2A-65A4425ADA40}"/>
    <cellStyle name="40% - Accent6 2 2 3 3" xfId="5008" xr:uid="{00000000-0005-0000-0000-0000FB060000}"/>
    <cellStyle name="40% - Accent6 2 2 3 3 2" xfId="21943" xr:uid="{3F365185-8852-4F2F-AE4E-AEE748ECF643}"/>
    <cellStyle name="40% - Accent6 2 2 3 3 3" xfId="13502" xr:uid="{9CFD910E-2682-4843-AD5F-3FC04222B21B}"/>
    <cellStyle name="40% - Accent6 2 2 3 4" xfId="17725" xr:uid="{74CEC711-1E47-494A-88C2-2B45C1BAE8C8}"/>
    <cellStyle name="40% - Accent6 2 2 3 5" xfId="9250" xr:uid="{6AE4BC05-9405-4157-8E2D-6F1C0B331E43}"/>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4501" xr:uid="{8C5660CB-4A6A-4FA0-A0AB-46B57BE89EA1}"/>
    <cellStyle name="40% - Accent6 2 2 4 2 2 3" xfId="16060" xr:uid="{DF2491E0-430E-4A65-A3EF-1D1FB1573362}"/>
    <cellStyle name="40% - Accent6 2 2 4 2 3" xfId="20283" xr:uid="{27819D70-4ADF-4139-81DE-62BA8D3FE2BA}"/>
    <cellStyle name="40% - Accent6 2 2 4 2 4" xfId="11841" xr:uid="{5B64AE50-5B94-484C-A49F-F3E3E8F04911}"/>
    <cellStyle name="40% - Accent6 2 2 4 3" xfId="5421" xr:uid="{00000000-0005-0000-0000-0000FF060000}"/>
    <cellStyle name="40% - Accent6 2 2 4 3 2" xfId="22356" xr:uid="{15733A61-8419-4973-9C78-7BE25804097E}"/>
    <cellStyle name="40% - Accent6 2 2 4 3 3" xfId="13915" xr:uid="{20A1B961-2814-4AC8-937F-87C0C2DDB94F}"/>
    <cellStyle name="40% - Accent6 2 2 4 4" xfId="18138" xr:uid="{00002B24-C62C-4E02-A699-A0A197564260}"/>
    <cellStyle name="40% - Accent6 2 2 4 5" xfId="9664" xr:uid="{E905FC88-6363-4176-AECC-3286056EF677}"/>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4914" xr:uid="{FB4127C6-632E-4E75-8434-E6809A654C8F}"/>
    <cellStyle name="40% - Accent6 2 2 5 2 2 3" xfId="16473" xr:uid="{FE9529A2-3B8E-4233-973D-B5D73FFBEAD0}"/>
    <cellStyle name="40% - Accent6 2 2 5 2 3" xfId="20696" xr:uid="{1F467EEE-8982-4BBA-BFF1-626D57DB205B}"/>
    <cellStyle name="40% - Accent6 2 2 5 2 4" xfId="12254" xr:uid="{E00753DB-B5D3-4217-AE0C-90D42C09A3E5}"/>
    <cellStyle name="40% - Accent6 2 2 5 3" xfId="5834" xr:uid="{00000000-0005-0000-0000-000003070000}"/>
    <cellStyle name="40% - Accent6 2 2 5 3 2" xfId="22769" xr:uid="{2332111A-A735-4CF6-BA34-804DA5979CAE}"/>
    <cellStyle name="40% - Accent6 2 2 5 3 3" xfId="14328" xr:uid="{B8CB4CBC-D07D-436F-A17B-6E66D2FF76F7}"/>
    <cellStyle name="40% - Accent6 2 2 5 4" xfId="18551" xr:uid="{6CC2CD20-253F-4863-8A96-A22C8A4CD814}"/>
    <cellStyle name="40% - Accent6 2 2 5 5" xfId="10077" xr:uid="{5B93D3FD-2792-45C0-B424-E3522BAAF33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5327" xr:uid="{9F843408-2592-4F27-80FA-C3EFF444109C}"/>
    <cellStyle name="40% - Accent6 2 2 6 2 2 3" xfId="16886" xr:uid="{53BC6F2D-FFCE-434B-B5D4-DE029C02D409}"/>
    <cellStyle name="40% - Accent6 2 2 6 2 3" xfId="21109" xr:uid="{0D3797AD-3CC0-47D0-9F8F-F4CF8F0C5A17}"/>
    <cellStyle name="40% - Accent6 2 2 6 2 4" xfId="12667" xr:uid="{E9D7AD90-2ABE-4F8C-859F-18301118A135}"/>
    <cellStyle name="40% - Accent6 2 2 6 3" xfId="6247" xr:uid="{00000000-0005-0000-0000-000007070000}"/>
    <cellStyle name="40% - Accent6 2 2 6 3 2" xfId="23182" xr:uid="{BBE029A6-2463-4D29-9987-1644914707FA}"/>
    <cellStyle name="40% - Accent6 2 2 6 3 3" xfId="14741" xr:uid="{A47B3E13-583E-4E3D-A4C0-110E48CF015D}"/>
    <cellStyle name="40% - Accent6 2 2 6 4" xfId="18964" xr:uid="{99F79284-F3DF-459B-9FE5-A59030C21B70}"/>
    <cellStyle name="40% - Accent6 2 2 6 5" xfId="10490" xr:uid="{2156E648-095D-48F7-B764-563033C43E7C}"/>
    <cellStyle name="40% - Accent6 2 2 7" xfId="2354" xr:uid="{00000000-0005-0000-0000-000008070000}"/>
    <cellStyle name="40% - Accent6 2 2 7 2" xfId="6660" xr:uid="{00000000-0005-0000-0000-000009070000}"/>
    <cellStyle name="40% - Accent6 2 2 7 2 2" xfId="23595" xr:uid="{EB7013C0-9058-49A7-8D23-B98191A25123}"/>
    <cellStyle name="40% - Accent6 2 2 7 2 3" xfId="15154" xr:uid="{5B5976DB-3C21-4ECA-A344-827336D31814}"/>
    <cellStyle name="40% - Accent6 2 2 7 3" xfId="19377" xr:uid="{7CEAB784-3235-43D0-B712-B4A36A048D51}"/>
    <cellStyle name="40% - Accent6 2 2 7 4" xfId="10903" xr:uid="{347745E5-C3EE-470A-B190-DB1183676C2D}"/>
    <cellStyle name="40% - Accent6 2 2 8" xfId="4594" xr:uid="{00000000-0005-0000-0000-00000A070000}"/>
    <cellStyle name="40% - Accent6 2 2 8 2" xfId="21529" xr:uid="{B916BD7D-D171-429E-AA25-21EC0AFF1496}"/>
    <cellStyle name="40% - Accent6 2 2 8 3" xfId="13088" xr:uid="{66B95CFC-9023-461B-AAAD-5034B9F242EC}"/>
    <cellStyle name="40% - Accent6 2 2 9" xfId="17311" xr:uid="{05774852-0D14-4CE2-9915-DA87F29EB72C}"/>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090" xr:uid="{CCAABA96-D25A-4F05-9681-29D3959B3C06}"/>
    <cellStyle name="40% - Accent6 2 3 2 2 2 3" xfId="15649" xr:uid="{677FF695-AF88-40AF-9F4A-69C8219D0C4D}"/>
    <cellStyle name="40% - Accent6 2 3 2 2 3" xfId="19872" xr:uid="{5DFE558C-D6B4-4A7A-BEE9-C92D6E0AE848}"/>
    <cellStyle name="40% - Accent6 2 3 2 2 4" xfId="11430" xr:uid="{E5DB9E02-7DCE-4F8E-AC2F-58075C64FD5D}"/>
    <cellStyle name="40% - Accent6 2 3 2 3" xfId="5010" xr:uid="{00000000-0005-0000-0000-00000F070000}"/>
    <cellStyle name="40% - Accent6 2 3 2 3 2" xfId="21945" xr:uid="{76745AFE-D59B-435D-B256-A43457A0AD6D}"/>
    <cellStyle name="40% - Accent6 2 3 2 3 3" xfId="13504" xr:uid="{02350F2A-4BAD-4726-9F3B-E985D96B17D6}"/>
    <cellStyle name="40% - Accent6 2 3 2 4" xfId="17727" xr:uid="{5D4ACF2C-31ED-4CD8-8808-7214A7C14BF0}"/>
    <cellStyle name="40% - Accent6 2 3 2 5" xfId="9252" xr:uid="{0BD5E73E-D59F-4A7F-A9E2-0EA2D7D5612A}"/>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4503" xr:uid="{F63A8378-F36C-4490-969E-A2D52723BACA}"/>
    <cellStyle name="40% - Accent6 2 3 3 2 2 3" xfId="16062" xr:uid="{C0F16651-C8CB-41BA-A385-BB01A26C0744}"/>
    <cellStyle name="40% - Accent6 2 3 3 2 3" xfId="20285" xr:uid="{5D3060ED-0331-4F0C-BA93-96A1D9C9B5A4}"/>
    <cellStyle name="40% - Accent6 2 3 3 2 4" xfId="11843" xr:uid="{5146B342-26DA-46BC-B50D-96EFFC7EA815}"/>
    <cellStyle name="40% - Accent6 2 3 3 3" xfId="5423" xr:uid="{00000000-0005-0000-0000-000013070000}"/>
    <cellStyle name="40% - Accent6 2 3 3 3 2" xfId="22358" xr:uid="{0C2B10E4-C682-42B7-8C2B-D0445EDD8DD0}"/>
    <cellStyle name="40% - Accent6 2 3 3 3 3" xfId="13917" xr:uid="{9C611D01-5A90-475A-BF88-E0DA1B0CBBA8}"/>
    <cellStyle name="40% - Accent6 2 3 3 4" xfId="18140" xr:uid="{12009FF6-B663-401C-8A0F-BBEB90F9992C}"/>
    <cellStyle name="40% - Accent6 2 3 3 5" xfId="9666" xr:uid="{47DE33DE-6B71-48D6-BC82-3001C4595DAE}"/>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4916" xr:uid="{7336CEEB-5558-4ADA-8759-A35BE4BB9E39}"/>
    <cellStyle name="40% - Accent6 2 3 4 2 2 3" xfId="16475" xr:uid="{307973A7-71EB-47B3-999F-A29263CA54C4}"/>
    <cellStyle name="40% - Accent6 2 3 4 2 3" xfId="20698" xr:uid="{3BF52D3A-59F3-4FA4-BCD3-AF724CE655A5}"/>
    <cellStyle name="40% - Accent6 2 3 4 2 4" xfId="12256" xr:uid="{C178E6F2-9D43-46CA-84B8-B1932AE8F577}"/>
    <cellStyle name="40% - Accent6 2 3 4 3" xfId="5836" xr:uid="{00000000-0005-0000-0000-000017070000}"/>
    <cellStyle name="40% - Accent6 2 3 4 3 2" xfId="22771" xr:uid="{BF82F6FF-0655-4684-A8C9-41D075CC9BCD}"/>
    <cellStyle name="40% - Accent6 2 3 4 3 3" xfId="14330" xr:uid="{AAE50B0F-D4C2-4B65-BEEC-6554CA344865}"/>
    <cellStyle name="40% - Accent6 2 3 4 4" xfId="18553" xr:uid="{0061904E-3131-4C83-A648-DB55926D0C4F}"/>
    <cellStyle name="40% - Accent6 2 3 4 5" xfId="10079" xr:uid="{7EA51E1B-95C0-4000-A964-DB8AEEE03620}"/>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5329" xr:uid="{045EFA48-2916-42C9-91BB-AF9B28F34C16}"/>
    <cellStyle name="40% - Accent6 2 3 5 2 2 3" xfId="16888" xr:uid="{76784FE6-D49B-444B-91BF-91E3BFF15435}"/>
    <cellStyle name="40% - Accent6 2 3 5 2 3" xfId="21111" xr:uid="{1C0FBDA2-834A-4906-B16C-3115E532C57B}"/>
    <cellStyle name="40% - Accent6 2 3 5 2 4" xfId="12669" xr:uid="{A8651E84-4505-4DEA-AFC1-314DCD5AE655}"/>
    <cellStyle name="40% - Accent6 2 3 5 3" xfId="6249" xr:uid="{00000000-0005-0000-0000-00001B070000}"/>
    <cellStyle name="40% - Accent6 2 3 5 3 2" xfId="23184" xr:uid="{68B362B2-CBF1-4847-ACE9-A353A44AE723}"/>
    <cellStyle name="40% - Accent6 2 3 5 3 3" xfId="14743" xr:uid="{374F050A-F292-494A-A7BA-A29A4DB64A04}"/>
    <cellStyle name="40% - Accent6 2 3 5 4" xfId="18966" xr:uid="{C4D19401-26A5-45C1-B3F8-6B7EBE253E4E}"/>
    <cellStyle name="40% - Accent6 2 3 5 5" xfId="10492" xr:uid="{028C3B76-5225-4053-8429-DD32FDB985E4}"/>
    <cellStyle name="40% - Accent6 2 3 6" xfId="2356" xr:uid="{00000000-0005-0000-0000-00001C070000}"/>
    <cellStyle name="40% - Accent6 2 3 6 2" xfId="6662" xr:uid="{00000000-0005-0000-0000-00001D070000}"/>
    <cellStyle name="40% - Accent6 2 3 6 2 2" xfId="23597" xr:uid="{0E3ECB1B-E68E-4F95-8CBE-C190B60BE579}"/>
    <cellStyle name="40% - Accent6 2 3 6 2 3" xfId="15156" xr:uid="{55EC771B-1202-4112-BDFD-4D695EB53C1E}"/>
    <cellStyle name="40% - Accent6 2 3 6 3" xfId="19379" xr:uid="{1555D60E-FF4E-4271-84D2-5AA4C04FDA87}"/>
    <cellStyle name="40% - Accent6 2 3 6 4" xfId="10905" xr:uid="{B6B05505-905A-4CF5-8B2C-773845F493EC}"/>
    <cellStyle name="40% - Accent6 2 3 7" xfId="4596" xr:uid="{00000000-0005-0000-0000-00001E070000}"/>
    <cellStyle name="40% - Accent6 2 3 7 2" xfId="21531" xr:uid="{D3819F42-9126-4C9E-82DC-620AAEF2FB0D}"/>
    <cellStyle name="40% - Accent6 2 3 7 3" xfId="13090" xr:uid="{3EADABFC-6A6E-45A0-AE7C-5B70BFF22DE7}"/>
    <cellStyle name="40% - Accent6 2 3 8" xfId="17313" xr:uid="{6EB0D6F4-03D1-456E-A3AF-FF3E300DF1CA}"/>
    <cellStyle name="40% - Accent6 2 3 9" xfId="8828" xr:uid="{FF23507C-BA74-4E82-A03A-97084B9843B4}"/>
    <cellStyle name="40% - Accent6 2 4" xfId="659" xr:uid="{00000000-0005-0000-0000-00001F070000}"/>
    <cellStyle name="40% - Accent6 2 4 2" xfId="2930" xr:uid="{00000000-0005-0000-0000-000020070000}"/>
    <cellStyle name="40% - Accent6 2 4 2 2" xfId="7152" xr:uid="{00000000-0005-0000-0000-000021070000}"/>
    <cellStyle name="40% - Accent6 2 4 2 2 2" xfId="24087" xr:uid="{CBDB5A40-E17F-4173-9C4B-263930F44EEC}"/>
    <cellStyle name="40% - Accent6 2 4 2 2 3" xfId="15646" xr:uid="{C7ED1DD5-AD21-4F23-A523-505E9A861B1A}"/>
    <cellStyle name="40% - Accent6 2 4 2 3" xfId="19869" xr:uid="{B44D69E2-9742-4CA4-AB82-595E0F3DD52E}"/>
    <cellStyle name="40% - Accent6 2 4 2 4" xfId="11427" xr:uid="{EC6B96AB-1F95-4969-83D3-949505F9FA7F}"/>
    <cellStyle name="40% - Accent6 2 4 3" xfId="5007" xr:uid="{00000000-0005-0000-0000-000022070000}"/>
    <cellStyle name="40% - Accent6 2 4 3 2" xfId="21942" xr:uid="{C8ADC2B2-C102-4388-AA1E-76E30118E8ED}"/>
    <cellStyle name="40% - Accent6 2 4 3 3" xfId="13501" xr:uid="{9D3FEB3E-5258-42CC-A122-E9CD75397445}"/>
    <cellStyle name="40% - Accent6 2 4 4" xfId="17724" xr:uid="{AE16CD57-2B3F-47D8-868A-3F03B6D0EB05}"/>
    <cellStyle name="40% - Accent6 2 4 5" xfId="9249" xr:uid="{DBEFC846-D6D7-4655-BC1D-81C92CD9CAFC}"/>
    <cellStyle name="40% - Accent6 2 5" xfId="1112" xr:uid="{00000000-0005-0000-0000-000023070000}"/>
    <cellStyle name="40% - Accent6 2 5 2" xfId="3343" xr:uid="{00000000-0005-0000-0000-000024070000}"/>
    <cellStyle name="40% - Accent6 2 5 2 2" xfId="7565" xr:uid="{00000000-0005-0000-0000-000025070000}"/>
    <cellStyle name="40% - Accent6 2 5 2 2 2" xfId="24500" xr:uid="{8E2660C3-6CEB-423F-B926-99304227F54F}"/>
    <cellStyle name="40% - Accent6 2 5 2 2 3" xfId="16059" xr:uid="{17C32836-1D6D-4F31-B669-6C99CA3568A6}"/>
    <cellStyle name="40% - Accent6 2 5 2 3" xfId="20282" xr:uid="{4B286445-5F2A-4FD5-BA5B-F945A66E44AC}"/>
    <cellStyle name="40% - Accent6 2 5 2 4" xfId="11840" xr:uid="{C353593D-5419-40CA-8812-2F163F06B8C9}"/>
    <cellStyle name="40% - Accent6 2 5 3" xfId="5420" xr:uid="{00000000-0005-0000-0000-000026070000}"/>
    <cellStyle name="40% - Accent6 2 5 3 2" xfId="22355" xr:uid="{4D9DDAEF-D3DB-447C-9C65-3C779AFA232E}"/>
    <cellStyle name="40% - Accent6 2 5 3 3" xfId="13914" xr:uid="{92ED6DDD-C5EA-4112-9453-3EF29D176598}"/>
    <cellStyle name="40% - Accent6 2 5 4" xfId="18137" xr:uid="{0118CB15-3C88-449D-B653-D664FCB97ED5}"/>
    <cellStyle name="40% - Accent6 2 5 5" xfId="9663" xr:uid="{4B8FD0E0-AAFD-4596-9BDE-642BE416AB01}"/>
    <cellStyle name="40% - Accent6 2 6" xfId="1526" xr:uid="{00000000-0005-0000-0000-000027070000}"/>
    <cellStyle name="40% - Accent6 2 6 2" xfId="3756" xr:uid="{00000000-0005-0000-0000-000028070000}"/>
    <cellStyle name="40% - Accent6 2 6 2 2" xfId="7978" xr:uid="{00000000-0005-0000-0000-000029070000}"/>
    <cellStyle name="40% - Accent6 2 6 2 2 2" xfId="24913" xr:uid="{7B7089D4-E36C-400A-BADC-6C476AB7542A}"/>
    <cellStyle name="40% - Accent6 2 6 2 2 3" xfId="16472" xr:uid="{BA2F1A5E-6164-48FF-92C2-EE88D847E639}"/>
    <cellStyle name="40% - Accent6 2 6 2 3" xfId="20695" xr:uid="{769DF2C4-846D-4335-A3A3-AB55683D6BC6}"/>
    <cellStyle name="40% - Accent6 2 6 2 4" xfId="12253" xr:uid="{0802D265-19F9-47C9-86F8-96104EE19C8B}"/>
    <cellStyle name="40% - Accent6 2 6 3" xfId="5833" xr:uid="{00000000-0005-0000-0000-00002A070000}"/>
    <cellStyle name="40% - Accent6 2 6 3 2" xfId="22768" xr:uid="{05CE9797-7256-4467-AACC-08282777B922}"/>
    <cellStyle name="40% - Accent6 2 6 3 3" xfId="14327" xr:uid="{7E0F33C6-FCE2-4465-8CDF-DAB6B8D9156A}"/>
    <cellStyle name="40% - Accent6 2 6 4" xfId="18550" xr:uid="{74BDFED1-FDEB-4571-9C96-C802181055F0}"/>
    <cellStyle name="40% - Accent6 2 6 5" xfId="10076" xr:uid="{B4B99A7A-F15C-4609-A0C4-420C8B381929}"/>
    <cellStyle name="40% - Accent6 2 7" xfId="1940" xr:uid="{00000000-0005-0000-0000-00002B070000}"/>
    <cellStyle name="40% - Accent6 2 7 2" xfId="4169" xr:uid="{00000000-0005-0000-0000-00002C070000}"/>
    <cellStyle name="40% - Accent6 2 7 2 2" xfId="8391" xr:uid="{00000000-0005-0000-0000-00002D070000}"/>
    <cellStyle name="40% - Accent6 2 7 2 2 2" xfId="25326" xr:uid="{4696A2E8-7551-4C6C-BEF1-0F147FC41FAC}"/>
    <cellStyle name="40% - Accent6 2 7 2 2 3" xfId="16885" xr:uid="{F50FF7F2-0E98-48C0-A5D7-C2320E35AAD5}"/>
    <cellStyle name="40% - Accent6 2 7 2 3" xfId="21108" xr:uid="{6664346B-519A-4A42-B3A0-B5BBD085EBEA}"/>
    <cellStyle name="40% - Accent6 2 7 2 4" xfId="12666" xr:uid="{E7DC9F05-9220-4B6F-A376-74A02754F22D}"/>
    <cellStyle name="40% - Accent6 2 7 3" xfId="6246" xr:uid="{00000000-0005-0000-0000-00002E070000}"/>
    <cellStyle name="40% - Accent6 2 7 3 2" xfId="23181" xr:uid="{BBA79B04-18F4-4D26-B707-506B38E71CD7}"/>
    <cellStyle name="40% - Accent6 2 7 3 3" xfId="14740" xr:uid="{0AD427A3-FA63-464B-A588-62D70A8DAB88}"/>
    <cellStyle name="40% - Accent6 2 7 4" xfId="18963" xr:uid="{464BB85D-83E4-4863-B571-F5476212C107}"/>
    <cellStyle name="40% - Accent6 2 7 5" xfId="10489" xr:uid="{DA435531-4C6C-4598-80EC-6B06EE8089F1}"/>
    <cellStyle name="40% - Accent6 2 8" xfId="2353" xr:uid="{00000000-0005-0000-0000-00002F070000}"/>
    <cellStyle name="40% - Accent6 2 8 2" xfId="6659" xr:uid="{00000000-0005-0000-0000-000030070000}"/>
    <cellStyle name="40% - Accent6 2 8 2 2" xfId="23594" xr:uid="{72B8A0A1-85C8-44EA-81DD-7DCB1FF4D56F}"/>
    <cellStyle name="40% - Accent6 2 8 2 3" xfId="15153" xr:uid="{35492DD2-0D0C-4521-AD37-C70531EEED9A}"/>
    <cellStyle name="40% - Accent6 2 8 3" xfId="19376" xr:uid="{C904925C-8EAF-4ACD-BDF1-F481AF7E7DD5}"/>
    <cellStyle name="40% - Accent6 2 8 4" xfId="10902" xr:uid="{C236160A-BD82-4843-84E8-3A8CA6B7EF65}"/>
    <cellStyle name="40% - Accent6 2 9" xfId="4593" xr:uid="{00000000-0005-0000-0000-000031070000}"/>
    <cellStyle name="40% - Accent6 2 9 2" xfId="21528" xr:uid="{E469E523-2E7B-4591-A584-D7B5C0CD7E4F}"/>
    <cellStyle name="40% - Accent6 2 9 3" xfId="13087" xr:uid="{7D2D39B8-A391-4B2C-A39F-9D95E1E46B2B}"/>
    <cellStyle name="40% - Accent6 3" xfId="94" xr:uid="{00000000-0005-0000-0000-000032070000}"/>
    <cellStyle name="40% - Accent6 3 10" xfId="8829" xr:uid="{B20DB655-A20B-45E1-9B6A-04D0AD05F1E5}"/>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092" xr:uid="{C2A0A92F-1F3D-402F-90E6-7E7E02D33790}"/>
    <cellStyle name="40% - Accent6 3 2 2 2 2 3" xfId="15651" xr:uid="{B3D00474-7793-4077-AFEB-866995F3C1FA}"/>
    <cellStyle name="40% - Accent6 3 2 2 2 3" xfId="19874" xr:uid="{D67C36B2-60E3-4CE3-8C35-83EFF3EB3C41}"/>
    <cellStyle name="40% - Accent6 3 2 2 2 4" xfId="11432" xr:uid="{FFB19F3D-726F-488A-97EF-13696189C6A4}"/>
    <cellStyle name="40% - Accent6 3 2 2 3" xfId="5012" xr:uid="{00000000-0005-0000-0000-000037070000}"/>
    <cellStyle name="40% - Accent6 3 2 2 3 2" xfId="21947" xr:uid="{45DF46C3-CA86-47E8-BBBE-5C12314C203F}"/>
    <cellStyle name="40% - Accent6 3 2 2 3 3" xfId="13506" xr:uid="{B1221CC3-D8CE-4140-BB08-6DCA5E476888}"/>
    <cellStyle name="40% - Accent6 3 2 2 4" xfId="17729" xr:uid="{747BDE87-9C1E-41AA-9EDD-789A050F4EC1}"/>
    <cellStyle name="40% - Accent6 3 2 2 5" xfId="9254" xr:uid="{8057C2D8-0849-483D-BCB3-12238B514609}"/>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4505" xr:uid="{0FA8918E-65DA-40A4-9E20-07C982D317BD}"/>
    <cellStyle name="40% - Accent6 3 2 3 2 2 3" xfId="16064" xr:uid="{785B7F67-75E5-4F20-A3F3-0EF8301E522E}"/>
    <cellStyle name="40% - Accent6 3 2 3 2 3" xfId="20287" xr:uid="{87EE89B3-B72F-40B4-82D3-E215867703FE}"/>
    <cellStyle name="40% - Accent6 3 2 3 2 4" xfId="11845" xr:uid="{F321C96D-15E7-4D11-A0C3-4C4CE165B5B1}"/>
    <cellStyle name="40% - Accent6 3 2 3 3" xfId="5425" xr:uid="{00000000-0005-0000-0000-00003B070000}"/>
    <cellStyle name="40% - Accent6 3 2 3 3 2" xfId="22360" xr:uid="{C7243D3F-AFA3-46E4-B2B0-24BD84D19BD5}"/>
    <cellStyle name="40% - Accent6 3 2 3 3 3" xfId="13919" xr:uid="{A5E696A6-3D88-464F-B79B-A22E79B084C0}"/>
    <cellStyle name="40% - Accent6 3 2 3 4" xfId="18142" xr:uid="{23713336-047D-4038-B8AC-A154EEABDD98}"/>
    <cellStyle name="40% - Accent6 3 2 3 5" xfId="9668" xr:uid="{DA75D534-3E27-40EC-91CC-2EF42B8B37EC}"/>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4918" xr:uid="{CA21DA22-FDB1-4B44-83C8-3416587EA819}"/>
    <cellStyle name="40% - Accent6 3 2 4 2 2 3" xfId="16477" xr:uid="{198E306E-B2E4-4910-928F-37C9C9D9FF6F}"/>
    <cellStyle name="40% - Accent6 3 2 4 2 3" xfId="20700" xr:uid="{056E7CA8-F55B-4089-A654-7F6CF2B89342}"/>
    <cellStyle name="40% - Accent6 3 2 4 2 4" xfId="12258" xr:uid="{8B09ECE1-A8A9-47D8-B2C0-90AE86ECA2DD}"/>
    <cellStyle name="40% - Accent6 3 2 4 3" xfId="5838" xr:uid="{00000000-0005-0000-0000-00003F070000}"/>
    <cellStyle name="40% - Accent6 3 2 4 3 2" xfId="22773" xr:uid="{80A004BC-0F23-4C7F-8CAC-241E08C5260C}"/>
    <cellStyle name="40% - Accent6 3 2 4 3 3" xfId="14332" xr:uid="{CB57E709-96A5-4525-B3EB-CBB42D7F6EBF}"/>
    <cellStyle name="40% - Accent6 3 2 4 4" xfId="18555" xr:uid="{4E2C6695-CBB9-4847-8824-E502CC969A25}"/>
    <cellStyle name="40% - Accent6 3 2 4 5" xfId="10081" xr:uid="{7FE734C3-61D6-4EF8-A014-919540E169A9}"/>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5331" xr:uid="{D5086962-2CF7-4829-BC83-8A285B3265D5}"/>
    <cellStyle name="40% - Accent6 3 2 5 2 2 3" xfId="16890" xr:uid="{A19F3396-02A9-4024-A103-2FC844543F28}"/>
    <cellStyle name="40% - Accent6 3 2 5 2 3" xfId="21113" xr:uid="{6B2F0419-7030-4A10-BDFA-7C8E61290B70}"/>
    <cellStyle name="40% - Accent6 3 2 5 2 4" xfId="12671" xr:uid="{6C915D58-5DFC-44AE-9C51-34BE67282CEB}"/>
    <cellStyle name="40% - Accent6 3 2 5 3" xfId="6251" xr:uid="{00000000-0005-0000-0000-000043070000}"/>
    <cellStyle name="40% - Accent6 3 2 5 3 2" xfId="23186" xr:uid="{85760E37-38EC-42AE-8659-47BC7633B16D}"/>
    <cellStyle name="40% - Accent6 3 2 5 3 3" xfId="14745" xr:uid="{59B8E861-BE15-4971-8623-1B2320F11ACB}"/>
    <cellStyle name="40% - Accent6 3 2 5 4" xfId="18968" xr:uid="{39A88E04-F564-405F-80F8-69731520E98F}"/>
    <cellStyle name="40% - Accent6 3 2 5 5" xfId="10494" xr:uid="{D2529452-36A0-4E43-A11D-08C20A12F3B6}"/>
    <cellStyle name="40% - Accent6 3 2 6" xfId="2358" xr:uid="{00000000-0005-0000-0000-000044070000}"/>
    <cellStyle name="40% - Accent6 3 2 6 2" xfId="6664" xr:uid="{00000000-0005-0000-0000-000045070000}"/>
    <cellStyle name="40% - Accent6 3 2 6 2 2" xfId="23599" xr:uid="{F29143D9-40F5-4D6D-94AD-94E0BD1B32DD}"/>
    <cellStyle name="40% - Accent6 3 2 6 2 3" xfId="15158" xr:uid="{F6B3C5C0-748F-4A4C-B3DA-4B5595982D04}"/>
    <cellStyle name="40% - Accent6 3 2 6 3" xfId="19381" xr:uid="{AF4432A3-2CC0-45E6-ADDC-262F01A1CCFE}"/>
    <cellStyle name="40% - Accent6 3 2 6 4" xfId="10907" xr:uid="{0106D88A-51E3-40DB-9935-B158EC89E70D}"/>
    <cellStyle name="40% - Accent6 3 2 7" xfId="4598" xr:uid="{00000000-0005-0000-0000-000046070000}"/>
    <cellStyle name="40% - Accent6 3 2 7 2" xfId="21533" xr:uid="{827DB3DE-CA79-4EB2-9E8E-4B6D0DD52869}"/>
    <cellStyle name="40% - Accent6 3 2 7 3" xfId="13092" xr:uid="{1F957710-0699-42E2-8FCD-8EB69EE91CDD}"/>
    <cellStyle name="40% - Accent6 3 2 8" xfId="17315" xr:uid="{FF4681DB-9206-4E0D-A6F3-2649C67AF62F}"/>
    <cellStyle name="40% - Accent6 3 2 9" xfId="8830" xr:uid="{3CD456DD-DED7-4700-AD03-138EEA8D99DB}"/>
    <cellStyle name="40% - Accent6 3 3" xfId="663" xr:uid="{00000000-0005-0000-0000-000047070000}"/>
    <cellStyle name="40% - Accent6 3 3 2" xfId="2934" xr:uid="{00000000-0005-0000-0000-000048070000}"/>
    <cellStyle name="40% - Accent6 3 3 2 2" xfId="7156" xr:uid="{00000000-0005-0000-0000-000049070000}"/>
    <cellStyle name="40% - Accent6 3 3 2 2 2" xfId="24091" xr:uid="{01D9ED30-91A0-4406-AC48-192C354498A4}"/>
    <cellStyle name="40% - Accent6 3 3 2 2 3" xfId="15650" xr:uid="{1BA0D0D6-923A-41F0-B0CB-671299CEE7BC}"/>
    <cellStyle name="40% - Accent6 3 3 2 3" xfId="19873" xr:uid="{9DFAD83B-61B7-4366-8AA8-D974570EA7BE}"/>
    <cellStyle name="40% - Accent6 3 3 2 4" xfId="11431" xr:uid="{D068D3B3-2C82-4649-B11B-4D4153E51C8C}"/>
    <cellStyle name="40% - Accent6 3 3 3" xfId="5011" xr:uid="{00000000-0005-0000-0000-00004A070000}"/>
    <cellStyle name="40% - Accent6 3 3 3 2" xfId="21946" xr:uid="{09B37160-CBAF-4DA5-9193-205F09171D8C}"/>
    <cellStyle name="40% - Accent6 3 3 3 3" xfId="13505" xr:uid="{37BA7205-6FDE-4022-A29B-64158204D58E}"/>
    <cellStyle name="40% - Accent6 3 3 4" xfId="17728" xr:uid="{8A8FB488-F427-4A8C-8BF6-4D7A79F652A8}"/>
    <cellStyle name="40% - Accent6 3 3 5" xfId="9253" xr:uid="{7FA945F1-8556-42DB-9E34-EB6326E3B907}"/>
    <cellStyle name="40% - Accent6 3 4" xfId="1116" xr:uid="{00000000-0005-0000-0000-00004B070000}"/>
    <cellStyle name="40% - Accent6 3 4 2" xfId="3347" xr:uid="{00000000-0005-0000-0000-00004C070000}"/>
    <cellStyle name="40% - Accent6 3 4 2 2" xfId="7569" xr:uid="{00000000-0005-0000-0000-00004D070000}"/>
    <cellStyle name="40% - Accent6 3 4 2 2 2" xfId="24504" xr:uid="{FAF43F19-7497-4B16-845B-A46E87D1506B}"/>
    <cellStyle name="40% - Accent6 3 4 2 2 3" xfId="16063" xr:uid="{1B11B41A-328D-48DC-806D-FF8C28D805C2}"/>
    <cellStyle name="40% - Accent6 3 4 2 3" xfId="20286" xr:uid="{C655FF20-AC86-45DF-B78C-5B630A6E7F05}"/>
    <cellStyle name="40% - Accent6 3 4 2 4" xfId="11844" xr:uid="{BD51FBB7-379D-434C-BEC5-9B469F04A59F}"/>
    <cellStyle name="40% - Accent6 3 4 3" xfId="5424" xr:uid="{00000000-0005-0000-0000-00004E070000}"/>
    <cellStyle name="40% - Accent6 3 4 3 2" xfId="22359" xr:uid="{EECB734B-51BD-4C57-9B06-51EC842B9F44}"/>
    <cellStyle name="40% - Accent6 3 4 3 3" xfId="13918" xr:uid="{D4988230-4BC6-484F-BB79-3342BAEC6464}"/>
    <cellStyle name="40% - Accent6 3 4 4" xfId="18141" xr:uid="{5E00B3C9-9AF3-4407-8B64-F7B22A0B35F5}"/>
    <cellStyle name="40% - Accent6 3 4 5" xfId="9667" xr:uid="{FD99BF25-5033-4B58-B56F-8E4C4AAAAC36}"/>
    <cellStyle name="40% - Accent6 3 5" xfId="1530" xr:uid="{00000000-0005-0000-0000-00004F070000}"/>
    <cellStyle name="40% - Accent6 3 5 2" xfId="3760" xr:uid="{00000000-0005-0000-0000-000050070000}"/>
    <cellStyle name="40% - Accent6 3 5 2 2" xfId="7982" xr:uid="{00000000-0005-0000-0000-000051070000}"/>
    <cellStyle name="40% - Accent6 3 5 2 2 2" xfId="24917" xr:uid="{50E49F36-98B1-4777-B6B0-59DB6571143B}"/>
    <cellStyle name="40% - Accent6 3 5 2 2 3" xfId="16476" xr:uid="{EC2C955C-ACB7-48B7-A941-CBC2B1750639}"/>
    <cellStyle name="40% - Accent6 3 5 2 3" xfId="20699" xr:uid="{F2932212-9E88-4959-8996-4DCE71D42244}"/>
    <cellStyle name="40% - Accent6 3 5 2 4" xfId="12257" xr:uid="{D3FF55AC-7665-43A9-9177-C53C220E4C24}"/>
    <cellStyle name="40% - Accent6 3 5 3" xfId="5837" xr:uid="{00000000-0005-0000-0000-000052070000}"/>
    <cellStyle name="40% - Accent6 3 5 3 2" xfId="22772" xr:uid="{8C38DE9F-DDC1-4843-BD9F-E8A7433350C2}"/>
    <cellStyle name="40% - Accent6 3 5 3 3" xfId="14331" xr:uid="{A35211C7-BF6E-40E0-A67C-16857C5D32EB}"/>
    <cellStyle name="40% - Accent6 3 5 4" xfId="18554" xr:uid="{536AE9BA-A3F4-4544-8E2A-892349F9555E}"/>
    <cellStyle name="40% - Accent6 3 5 5" xfId="10080" xr:uid="{527B6FEE-048B-48B1-A20D-9BCCC1482F57}"/>
    <cellStyle name="40% - Accent6 3 6" xfId="1944" xr:uid="{00000000-0005-0000-0000-000053070000}"/>
    <cellStyle name="40% - Accent6 3 6 2" xfId="4173" xr:uid="{00000000-0005-0000-0000-000054070000}"/>
    <cellStyle name="40% - Accent6 3 6 2 2" xfId="8395" xr:uid="{00000000-0005-0000-0000-000055070000}"/>
    <cellStyle name="40% - Accent6 3 6 2 2 2" xfId="25330" xr:uid="{9FFF393F-ED7A-4D04-BD69-D9B346ECC923}"/>
    <cellStyle name="40% - Accent6 3 6 2 2 3" xfId="16889" xr:uid="{8325CFBA-C63D-4CFB-AB4E-9E8E5AB4525C}"/>
    <cellStyle name="40% - Accent6 3 6 2 3" xfId="21112" xr:uid="{450A1547-7121-426F-BE74-0177607E11E0}"/>
    <cellStyle name="40% - Accent6 3 6 2 4" xfId="12670" xr:uid="{7D915984-F52B-4F4A-AB34-23A7C42BF141}"/>
    <cellStyle name="40% - Accent6 3 6 3" xfId="6250" xr:uid="{00000000-0005-0000-0000-000056070000}"/>
    <cellStyle name="40% - Accent6 3 6 3 2" xfId="23185" xr:uid="{5DF14376-838D-46E2-8DA0-C3C6B995A54B}"/>
    <cellStyle name="40% - Accent6 3 6 3 3" xfId="14744" xr:uid="{5F8086C1-B689-4EEB-8910-4B246DDCC97A}"/>
    <cellStyle name="40% - Accent6 3 6 4" xfId="18967" xr:uid="{7722B7E7-797A-499F-A712-E7A20F72EA53}"/>
    <cellStyle name="40% - Accent6 3 6 5" xfId="10493" xr:uid="{05DB78DC-EB6D-46BE-90D2-A5588277282D}"/>
    <cellStyle name="40% - Accent6 3 7" xfId="2357" xr:uid="{00000000-0005-0000-0000-000057070000}"/>
    <cellStyle name="40% - Accent6 3 7 2" xfId="6663" xr:uid="{00000000-0005-0000-0000-000058070000}"/>
    <cellStyle name="40% - Accent6 3 7 2 2" xfId="23598" xr:uid="{C92FD111-E6A3-4FEC-942F-D0DAE459607D}"/>
    <cellStyle name="40% - Accent6 3 7 2 3" xfId="15157" xr:uid="{26705912-7197-44DA-B3AA-7879766492CE}"/>
    <cellStyle name="40% - Accent6 3 7 3" xfId="19380" xr:uid="{0552CFBC-BA59-46FF-B769-2D18A3C5A77E}"/>
    <cellStyle name="40% - Accent6 3 7 4" xfId="10906" xr:uid="{76D69402-D948-44ED-9312-AA72DC608B1D}"/>
    <cellStyle name="40% - Accent6 3 8" xfId="4597" xr:uid="{00000000-0005-0000-0000-000059070000}"/>
    <cellStyle name="40% - Accent6 3 8 2" xfId="21532" xr:uid="{5602476F-1632-477C-A19A-7D051EEDE9D1}"/>
    <cellStyle name="40% - Accent6 3 8 3" xfId="13091" xr:uid="{197466EF-AAC7-4A0C-9D35-92C4AE2F9A21}"/>
    <cellStyle name="40% - Accent6 3 9" xfId="17314" xr:uid="{BC779949-08E8-49D0-B55E-998A0185F704}"/>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24093" xr:uid="{D90E87CA-5E81-4597-BABC-00270BA8A604}"/>
    <cellStyle name="40% - Accent6 4 2 2 2 3" xfId="15652" xr:uid="{10A2BE8A-5CD3-4C47-A757-540B55608553}"/>
    <cellStyle name="40% - Accent6 4 2 2 3" xfId="19875" xr:uid="{4AFEFE73-92CF-432F-B1B9-F8DDD4537114}"/>
    <cellStyle name="40% - Accent6 4 2 2 4" xfId="11433" xr:uid="{9F613763-56E8-4567-A8D0-A303BEFC5A77}"/>
    <cellStyle name="40% - Accent6 4 2 3" xfId="5013" xr:uid="{00000000-0005-0000-0000-00005E070000}"/>
    <cellStyle name="40% - Accent6 4 2 3 2" xfId="21948" xr:uid="{B9A8ED7B-485A-4142-BB8A-0CE08D0B48C7}"/>
    <cellStyle name="40% - Accent6 4 2 3 3" xfId="13507" xr:uid="{2375F8F7-2D73-438F-A721-5711EE4079E6}"/>
    <cellStyle name="40% - Accent6 4 2 4" xfId="17730" xr:uid="{39F95467-1EAF-41F6-AB3B-E3A400C3DD9F}"/>
    <cellStyle name="40% - Accent6 4 2 5" xfId="9255" xr:uid="{CA3329C3-E558-49C4-B99C-10BA56AD80B5}"/>
    <cellStyle name="40% - Accent6 4 3" xfId="1118" xr:uid="{00000000-0005-0000-0000-00005F070000}"/>
    <cellStyle name="40% - Accent6 4 3 2" xfId="3349" xr:uid="{00000000-0005-0000-0000-000060070000}"/>
    <cellStyle name="40% - Accent6 4 3 2 2" xfId="7571" xr:uid="{00000000-0005-0000-0000-000061070000}"/>
    <cellStyle name="40% - Accent6 4 3 2 2 2" xfId="24506" xr:uid="{427B78FD-C00B-4B85-B050-7B1DE0967D9E}"/>
    <cellStyle name="40% - Accent6 4 3 2 2 3" xfId="16065" xr:uid="{7926FE20-5340-4D86-A095-DEBFC864EDAD}"/>
    <cellStyle name="40% - Accent6 4 3 2 3" xfId="20288" xr:uid="{EF97A81D-F8DA-4ED3-97E9-9E43B6961A27}"/>
    <cellStyle name="40% - Accent6 4 3 2 4" xfId="11846" xr:uid="{FB1E0BC4-D0E1-4193-A103-61D24E8C4BB3}"/>
    <cellStyle name="40% - Accent6 4 3 3" xfId="5426" xr:uid="{00000000-0005-0000-0000-000062070000}"/>
    <cellStyle name="40% - Accent6 4 3 3 2" xfId="22361" xr:uid="{525B17EF-CBD5-4448-B0AD-037B931D1C17}"/>
    <cellStyle name="40% - Accent6 4 3 3 3" xfId="13920" xr:uid="{0ECF9A3E-BB1D-42BB-9005-A7B07C15F31C}"/>
    <cellStyle name="40% - Accent6 4 3 4" xfId="18143" xr:uid="{107A1442-7E22-459C-9B1C-C865564AB79F}"/>
    <cellStyle name="40% - Accent6 4 3 5" xfId="9669" xr:uid="{E8129050-53A0-4090-8852-D36B555F4757}"/>
    <cellStyle name="40% - Accent6 4 4" xfId="1532" xr:uid="{00000000-0005-0000-0000-000063070000}"/>
    <cellStyle name="40% - Accent6 4 4 2" xfId="3762" xr:uid="{00000000-0005-0000-0000-000064070000}"/>
    <cellStyle name="40% - Accent6 4 4 2 2" xfId="7984" xr:uid="{00000000-0005-0000-0000-000065070000}"/>
    <cellStyle name="40% - Accent6 4 4 2 2 2" xfId="24919" xr:uid="{494993B7-BF49-4C59-ACB1-71EFA7E2433C}"/>
    <cellStyle name="40% - Accent6 4 4 2 2 3" xfId="16478" xr:uid="{696AB80C-8E2B-4FC6-B11C-DA1C133606EA}"/>
    <cellStyle name="40% - Accent6 4 4 2 3" xfId="20701" xr:uid="{6A1E1F5E-9173-4EA2-80E6-EB16FEE8CFE1}"/>
    <cellStyle name="40% - Accent6 4 4 2 4" xfId="12259" xr:uid="{0DC1A172-E959-441A-8A94-F15F3FA5351E}"/>
    <cellStyle name="40% - Accent6 4 4 3" xfId="5839" xr:uid="{00000000-0005-0000-0000-000066070000}"/>
    <cellStyle name="40% - Accent6 4 4 3 2" xfId="22774" xr:uid="{D6F0BB9B-6545-4E51-AB94-DE2A9EDF8C35}"/>
    <cellStyle name="40% - Accent6 4 4 3 3" xfId="14333" xr:uid="{282EC25E-D203-4EC0-BCE0-DC83B0D55A41}"/>
    <cellStyle name="40% - Accent6 4 4 4" xfId="18556" xr:uid="{D17D47DA-C0F1-4D84-80BF-795CC49CB6B2}"/>
    <cellStyle name="40% - Accent6 4 4 5" xfId="10082" xr:uid="{BC06FF30-8E7D-43C8-A803-BFDDA4EB224A}"/>
    <cellStyle name="40% - Accent6 4 5" xfId="1946" xr:uid="{00000000-0005-0000-0000-000067070000}"/>
    <cellStyle name="40% - Accent6 4 5 2" xfId="4175" xr:uid="{00000000-0005-0000-0000-000068070000}"/>
    <cellStyle name="40% - Accent6 4 5 2 2" xfId="8397" xr:uid="{00000000-0005-0000-0000-000069070000}"/>
    <cellStyle name="40% - Accent6 4 5 2 2 2" xfId="25332" xr:uid="{E773F15D-9692-4374-8D1C-0C25DCB4477C}"/>
    <cellStyle name="40% - Accent6 4 5 2 2 3" xfId="16891" xr:uid="{3A73A6FB-78F0-4A63-9BC8-4A4A0AE9F928}"/>
    <cellStyle name="40% - Accent6 4 5 2 3" xfId="21114" xr:uid="{EACC721C-3B6B-470F-B39E-BA2008E13BCE}"/>
    <cellStyle name="40% - Accent6 4 5 2 4" xfId="12672" xr:uid="{A757AEAF-3616-4B6B-80CF-B6E1296B3FCF}"/>
    <cellStyle name="40% - Accent6 4 5 3" xfId="6252" xr:uid="{00000000-0005-0000-0000-00006A070000}"/>
    <cellStyle name="40% - Accent6 4 5 3 2" xfId="23187" xr:uid="{82F928A6-A1B5-4234-8A67-AFEADC01FD9A}"/>
    <cellStyle name="40% - Accent6 4 5 3 3" xfId="14746" xr:uid="{D2630C97-CDB2-4939-8B3E-2E39C86672A3}"/>
    <cellStyle name="40% - Accent6 4 5 4" xfId="18969" xr:uid="{8222A47B-26ED-4C9B-A5A8-BD663C4826BE}"/>
    <cellStyle name="40% - Accent6 4 5 5" xfId="10495" xr:uid="{B9A2D137-6331-42BA-B8DF-CE2E9DC8634E}"/>
    <cellStyle name="40% - Accent6 4 6" xfId="2359" xr:uid="{00000000-0005-0000-0000-00006B070000}"/>
    <cellStyle name="40% - Accent6 4 6 2" xfId="6665" xr:uid="{00000000-0005-0000-0000-00006C070000}"/>
    <cellStyle name="40% - Accent6 4 6 2 2" xfId="23600" xr:uid="{DAB8DF01-36CB-4A29-AD97-FAA61AD1D7D3}"/>
    <cellStyle name="40% - Accent6 4 6 2 3" xfId="15159" xr:uid="{C09C3ECE-16E5-454F-8109-3764B17B74A1}"/>
    <cellStyle name="40% - Accent6 4 6 3" xfId="19382" xr:uid="{CCE9CE76-442B-4ACF-9A6F-CB7E3DC53950}"/>
    <cellStyle name="40% - Accent6 4 6 4" xfId="10908" xr:uid="{2005CFF1-B968-4749-AD18-290F7BB955EC}"/>
    <cellStyle name="40% - Accent6 4 7" xfId="4599" xr:uid="{00000000-0005-0000-0000-00006D070000}"/>
    <cellStyle name="40% - Accent6 4 7 2" xfId="21534" xr:uid="{583E927C-19FD-4DA3-A568-33BC55A0C039}"/>
    <cellStyle name="40% - Accent6 4 7 3" xfId="13093" xr:uid="{62D0F5DA-D68F-45E9-9E46-D0943DE7CE09}"/>
    <cellStyle name="40% - Accent6 4 8" xfId="17316" xr:uid="{6D17A7F3-3B32-475D-AFB9-0D34297E88A4}"/>
    <cellStyle name="40% - Accent6 4 9" xfId="8831" xr:uid="{78CE040F-D6B8-404E-AD95-BDFDAFA01B79}"/>
    <cellStyle name="40% - Accent6 5" xfId="658" xr:uid="{00000000-0005-0000-0000-00006E070000}"/>
    <cellStyle name="40% - Accent6 5 2" xfId="2929" xr:uid="{00000000-0005-0000-0000-00006F070000}"/>
    <cellStyle name="40% - Accent6 5 2 2" xfId="7151" xr:uid="{00000000-0005-0000-0000-000070070000}"/>
    <cellStyle name="40% - Accent6 5 2 2 2" xfId="24086" xr:uid="{0EBC0950-8EBC-491A-8217-F543379825DC}"/>
    <cellStyle name="40% - Accent6 5 2 2 3" xfId="15645" xr:uid="{16C4E42D-2FBA-44D6-AD6E-B31056809CDD}"/>
    <cellStyle name="40% - Accent6 5 2 3" xfId="19868" xr:uid="{11E13C33-2FB9-4BD0-946F-A895E0FE6BAA}"/>
    <cellStyle name="40% - Accent6 5 2 4" xfId="11426" xr:uid="{28F23CD0-2D7A-4BD7-97C5-315BF7804E89}"/>
    <cellStyle name="40% - Accent6 5 3" xfId="5006" xr:uid="{00000000-0005-0000-0000-000071070000}"/>
    <cellStyle name="40% - Accent6 5 3 2" xfId="21941" xr:uid="{27BA0B64-BF77-41E1-91AE-47B6DE103ED0}"/>
    <cellStyle name="40% - Accent6 5 3 3" xfId="13500" xr:uid="{7935295C-A7AE-412D-B883-4B38952E46AC}"/>
    <cellStyle name="40% - Accent6 5 4" xfId="17723" xr:uid="{2463B022-E3BD-4B8D-97B7-111CAFF96CA2}"/>
    <cellStyle name="40% - Accent6 5 5" xfId="9248" xr:uid="{93A79C43-62AD-4643-BAE3-F596D57C74C5}"/>
    <cellStyle name="40% - Accent6 6" xfId="1111" xr:uid="{00000000-0005-0000-0000-000072070000}"/>
    <cellStyle name="40% - Accent6 6 2" xfId="3342" xr:uid="{00000000-0005-0000-0000-000073070000}"/>
    <cellStyle name="40% - Accent6 6 2 2" xfId="7564" xr:uid="{00000000-0005-0000-0000-000074070000}"/>
    <cellStyle name="40% - Accent6 6 2 2 2" xfId="24499" xr:uid="{8D3FECC2-5572-4DB4-9DBC-127DE46B3C35}"/>
    <cellStyle name="40% - Accent6 6 2 2 3" xfId="16058" xr:uid="{3786DAA5-717C-4AE3-8F47-E71147501065}"/>
    <cellStyle name="40% - Accent6 6 2 3" xfId="20281" xr:uid="{936655BA-01C1-4377-A6CE-29C3F1375655}"/>
    <cellStyle name="40% - Accent6 6 2 4" xfId="11839" xr:uid="{DA559CBF-A720-4356-9A13-BC2B1FC85D9A}"/>
    <cellStyle name="40% - Accent6 6 3" xfId="5419" xr:uid="{00000000-0005-0000-0000-000075070000}"/>
    <cellStyle name="40% - Accent6 6 3 2" xfId="22354" xr:uid="{9C46F8A2-A57B-4B12-9088-A4C3AEEB87D3}"/>
    <cellStyle name="40% - Accent6 6 3 3" xfId="13913" xr:uid="{7266A061-A7C1-4E8D-A0DB-FF3B7CE715B7}"/>
    <cellStyle name="40% - Accent6 6 4" xfId="18136" xr:uid="{951479EF-D89D-44EA-8127-DB8128932D24}"/>
    <cellStyle name="40% - Accent6 6 5" xfId="9662" xr:uid="{009C8919-A0AC-47BC-B29B-EF26C6CDFA57}"/>
    <cellStyle name="40% - Accent6 7" xfId="1525" xr:uid="{00000000-0005-0000-0000-000076070000}"/>
    <cellStyle name="40% - Accent6 7 2" xfId="3755" xr:uid="{00000000-0005-0000-0000-000077070000}"/>
    <cellStyle name="40% - Accent6 7 2 2" xfId="7977" xr:uid="{00000000-0005-0000-0000-000078070000}"/>
    <cellStyle name="40% - Accent6 7 2 2 2" xfId="24912" xr:uid="{84483817-9586-4719-9A25-6E9D8A792347}"/>
    <cellStyle name="40% - Accent6 7 2 2 3" xfId="16471" xr:uid="{022EC220-DD53-42D3-A6AC-70BE4160F883}"/>
    <cellStyle name="40% - Accent6 7 2 3" xfId="20694" xr:uid="{06998B59-D6B0-46F1-AA0F-C218B5315E42}"/>
    <cellStyle name="40% - Accent6 7 2 4" xfId="12252" xr:uid="{99DF8436-9F46-413E-AB17-FBB3422CC120}"/>
    <cellStyle name="40% - Accent6 7 3" xfId="5832" xr:uid="{00000000-0005-0000-0000-000079070000}"/>
    <cellStyle name="40% - Accent6 7 3 2" xfId="22767" xr:uid="{738496B2-4AD4-4FCD-9C47-FD560D56E5E7}"/>
    <cellStyle name="40% - Accent6 7 3 3" xfId="14326" xr:uid="{E7AD3AB8-EA17-4F62-BFFB-A443123497CA}"/>
    <cellStyle name="40% - Accent6 7 4" xfId="18549" xr:uid="{A7C309E0-7B6E-443E-AFB4-75292DA73C7A}"/>
    <cellStyle name="40% - Accent6 7 5" xfId="10075" xr:uid="{788FD569-6403-45BF-8011-986C3B708C6B}"/>
    <cellStyle name="40% - Accent6 8" xfId="1939" xr:uid="{00000000-0005-0000-0000-00007A070000}"/>
    <cellStyle name="40% - Accent6 8 2" xfId="4168" xr:uid="{00000000-0005-0000-0000-00007B070000}"/>
    <cellStyle name="40% - Accent6 8 2 2" xfId="8390" xr:uid="{00000000-0005-0000-0000-00007C070000}"/>
    <cellStyle name="40% - Accent6 8 2 2 2" xfId="25325" xr:uid="{4FDD6098-0280-4988-B443-08FBCA047793}"/>
    <cellStyle name="40% - Accent6 8 2 2 3" xfId="16884" xr:uid="{02BF38E0-1F1F-4922-8AD1-DDB72972D213}"/>
    <cellStyle name="40% - Accent6 8 2 3" xfId="21107" xr:uid="{1A8D6339-35A1-4A4B-A4A1-9B6C07480357}"/>
    <cellStyle name="40% - Accent6 8 2 4" xfId="12665" xr:uid="{BBF39135-72E8-4C22-9F24-39AE24AADE8B}"/>
    <cellStyle name="40% - Accent6 8 3" xfId="6245" xr:uid="{00000000-0005-0000-0000-00007D070000}"/>
    <cellStyle name="40% - Accent6 8 3 2" xfId="23180" xr:uid="{3FF144C7-B9B2-4E75-B673-B0D40A6777B0}"/>
    <cellStyle name="40% - Accent6 8 3 3" xfId="14739" xr:uid="{DDD45F65-8BAF-4960-BCFE-2FEF6EE5287F}"/>
    <cellStyle name="40% - Accent6 8 4" xfId="18962" xr:uid="{C1735096-7682-4A9B-98A2-88F5A8032DB3}"/>
    <cellStyle name="40% - Accent6 8 5" xfId="10488" xr:uid="{376EA1A2-8819-4D03-B67A-911C34651281}"/>
    <cellStyle name="40% - Accent6 9" xfId="2352" xr:uid="{00000000-0005-0000-0000-00007E070000}"/>
    <cellStyle name="40% - Accent6 9 2" xfId="6658" xr:uid="{00000000-0005-0000-0000-00007F070000}"/>
    <cellStyle name="40% - Accent6 9 2 2" xfId="23593" xr:uid="{113EA56B-FC95-40B1-B1EE-713032418DDD}"/>
    <cellStyle name="40% - Accent6 9 2 3" xfId="15152" xr:uid="{712B41A6-F7ED-4A23-BF8F-7B8E8D0BDA04}"/>
    <cellStyle name="40% - Accent6 9 3" xfId="19375" xr:uid="{76516CDC-78E1-4338-B636-57508A39CB91}"/>
    <cellStyle name="40% - Accent6 9 4" xfId="10901" xr:uid="{0E80D993-1014-4071-93D4-F2B2F5DC2E6E}"/>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2 2 2" xfId="8833" xr:uid="{EB4A6021-7202-4F13-AF07-382BD6243EB1}"/>
    <cellStyle name="Comma 2 3" xfId="8832" xr:uid="{8960A4AE-6C3A-4839-AAB0-D15DF3455F02}"/>
    <cellStyle name="Comma 3" xfId="124" xr:uid="{00000000-0005-0000-0000-00009C070000}"/>
    <cellStyle name="Comma 3 2" xfId="8834" xr:uid="{EA8FFF89-64BF-4CD8-8906-2746CB064E54}"/>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3918" xr:uid="{70E46941-7100-4B09-914E-EEE83CEBE00D}"/>
    <cellStyle name="Comma 4 2 2 2 10 2 3" xfId="15477" xr:uid="{1CB6AE48-F26A-48A6-915F-460BB575B921}"/>
    <cellStyle name="Comma 4 2 2 2 10 3" xfId="19700" xr:uid="{1B753BB5-4DC0-4A2F-AE3B-69F8FB14A46E}"/>
    <cellStyle name="Comma 4 2 2 2 10 4" xfId="11258" xr:uid="{EA0E4907-F77A-4E20-AE51-CEA3D2BF833F}"/>
    <cellStyle name="Comma 4 2 2 2 11" xfId="4600" xr:uid="{00000000-0005-0000-0000-0000A3070000}"/>
    <cellStyle name="Comma 4 2 2 2 11 2" xfId="21535" xr:uid="{94793E56-65EC-4F93-9981-A5F86A7324D0}"/>
    <cellStyle name="Comma 4 2 2 2 11 3" xfId="13094" xr:uid="{8B23FB7A-92B8-4B25-B904-7E24EA2190F2}"/>
    <cellStyle name="Comma 4 2 2 2 12" xfId="17317" xr:uid="{B8417A58-E9D0-4BE9-BBAE-EA0B8B4FB2AA}"/>
    <cellStyle name="Comma 4 2 2 2 13" xfId="8838" xr:uid="{9FC7E3E4-9D92-4807-87D9-353185862973}"/>
    <cellStyle name="Comma 4 2 2 2 2" xfId="129" xr:uid="{00000000-0005-0000-0000-0000A4070000}"/>
    <cellStyle name="Comma 4 2 2 2 2 10" xfId="4601" xr:uid="{00000000-0005-0000-0000-0000A5070000}"/>
    <cellStyle name="Comma 4 2 2 2 2 10 2" xfId="21536" xr:uid="{D09094BC-2182-4D2E-B1BD-B50DCF92E4C5}"/>
    <cellStyle name="Comma 4 2 2 2 2 10 3" xfId="13095" xr:uid="{820DFD5F-A17B-46AB-89E6-DE753F4C79EC}"/>
    <cellStyle name="Comma 4 2 2 2 2 11" xfId="17318" xr:uid="{39089D71-87A9-404B-86E5-4D91FA1DCE7E}"/>
    <cellStyle name="Comma 4 2 2 2 2 12" xfId="8839" xr:uid="{DD50096F-BA8B-41E1-BDEB-D4CA88C21E39}"/>
    <cellStyle name="Comma 4 2 2 2 2 2" xfId="130" xr:uid="{00000000-0005-0000-0000-0000A6070000}"/>
    <cellStyle name="Comma 4 2 2 2 2 2 10" xfId="17319" xr:uid="{DFDDB9B6-CF13-49DA-8577-D62F19E78838}"/>
    <cellStyle name="Comma 4 2 2 2 2 2 11" xfId="8840" xr:uid="{90B24A5B-216A-47AE-B060-CC6B1BF39BF9}"/>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096" xr:uid="{EA91B606-96BD-44A4-886B-2AC5CD4B158C}"/>
    <cellStyle name="Comma 4 2 2 2 2 2 2 2 2 3" xfId="15655" xr:uid="{787A8670-A8F0-4CD5-ABA9-7B0D5C4D5ECD}"/>
    <cellStyle name="Comma 4 2 2 2 2 2 2 2 3" xfId="19878" xr:uid="{46B2185F-2806-4BE5-A382-32188B64C2C0}"/>
    <cellStyle name="Comma 4 2 2 2 2 2 2 2 4" xfId="11436" xr:uid="{2306B2F0-7C14-4563-A1D8-A2C47EF3C1D4}"/>
    <cellStyle name="Comma 4 2 2 2 2 2 2 3" xfId="5016" xr:uid="{00000000-0005-0000-0000-0000AA070000}"/>
    <cellStyle name="Comma 4 2 2 2 2 2 2 3 2" xfId="21951" xr:uid="{3C9A75C6-FE04-46C2-8B7F-9A1D1DBBA258}"/>
    <cellStyle name="Comma 4 2 2 2 2 2 2 3 3" xfId="13510" xr:uid="{BC469B5B-D847-4C1C-B2C6-8A7741A8DE95}"/>
    <cellStyle name="Comma 4 2 2 2 2 2 2 4" xfId="17733" xr:uid="{8C00E7DC-BBDD-4419-B531-B5287B1CF1F4}"/>
    <cellStyle name="Comma 4 2 2 2 2 2 2 5" xfId="9258" xr:uid="{8DA7AF04-AE57-4F19-9300-3FE9489B3F8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4509" xr:uid="{7CB90DC1-E7E7-493D-BB2B-589DC75528C6}"/>
    <cellStyle name="Comma 4 2 2 2 2 2 3 2 2 3" xfId="16068" xr:uid="{B708823A-91C6-4993-8F29-A2C1D8338EF7}"/>
    <cellStyle name="Comma 4 2 2 2 2 2 3 2 3" xfId="20291" xr:uid="{16400FC9-48E9-4035-855C-4E3D3C4952F9}"/>
    <cellStyle name="Comma 4 2 2 2 2 2 3 2 4" xfId="11849" xr:uid="{878324CC-B466-4904-A6D2-451E657CC32A}"/>
    <cellStyle name="Comma 4 2 2 2 2 2 3 3" xfId="5429" xr:uid="{00000000-0005-0000-0000-0000AE070000}"/>
    <cellStyle name="Comma 4 2 2 2 2 2 3 3 2" xfId="22364" xr:uid="{D2A6AAC6-C918-4D01-8AAD-89F9504DF6E7}"/>
    <cellStyle name="Comma 4 2 2 2 2 2 3 3 3" xfId="13923" xr:uid="{E3A16305-14EF-4788-B415-13463956AD7F}"/>
    <cellStyle name="Comma 4 2 2 2 2 2 3 4" xfId="18146" xr:uid="{203F1EA6-12E7-48FB-B5A7-F686F6C6BEFF}"/>
    <cellStyle name="Comma 4 2 2 2 2 2 3 5" xfId="9672" xr:uid="{1FC64801-9E54-4956-A84A-1B5EB21B45DE}"/>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4922" xr:uid="{49312283-CB52-473D-84D7-BC006CD159BE}"/>
    <cellStyle name="Comma 4 2 2 2 2 2 4 2 2 3" xfId="16481" xr:uid="{53862568-EC30-4471-AC18-FAB53B37FD97}"/>
    <cellStyle name="Comma 4 2 2 2 2 2 4 2 3" xfId="20704" xr:uid="{33317B7F-43FA-4DF2-9C25-C24035FA3CB0}"/>
    <cellStyle name="Comma 4 2 2 2 2 2 4 2 4" xfId="12262" xr:uid="{F152BCA7-F3DA-4D97-B7E2-BEA4B92CCA93}"/>
    <cellStyle name="Comma 4 2 2 2 2 2 4 3" xfId="5842" xr:uid="{00000000-0005-0000-0000-0000B2070000}"/>
    <cellStyle name="Comma 4 2 2 2 2 2 4 3 2" xfId="22777" xr:uid="{F33887E8-7A61-4E69-A4DD-D01F4F5BD30E}"/>
    <cellStyle name="Comma 4 2 2 2 2 2 4 3 3" xfId="14336" xr:uid="{83C44256-F675-4A11-A31F-E93345AEACDB}"/>
    <cellStyle name="Comma 4 2 2 2 2 2 4 4" xfId="18559" xr:uid="{C0E84CE5-B5AF-4987-B275-2ACF64F92183}"/>
    <cellStyle name="Comma 4 2 2 2 2 2 4 5" xfId="10085" xr:uid="{1C6C2BF9-CF7A-4DF3-95B4-D94FEA0AA2D5}"/>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5335" xr:uid="{1F3CDA63-3671-4A86-B8C8-C7A9618CBB46}"/>
    <cellStyle name="Comma 4 2 2 2 2 2 5 2 2 3" xfId="16894" xr:uid="{2FBADC57-6F92-44B5-B5E8-3D1407A38F9B}"/>
    <cellStyle name="Comma 4 2 2 2 2 2 5 2 3" xfId="21117" xr:uid="{D2DCE92A-DB23-4168-960D-FAA0DBB8AC5C}"/>
    <cellStyle name="Comma 4 2 2 2 2 2 5 2 4" xfId="12675" xr:uid="{EE6F9BA4-4086-459E-B875-1446D5F5786F}"/>
    <cellStyle name="Comma 4 2 2 2 2 2 5 3" xfId="6255" xr:uid="{00000000-0005-0000-0000-0000B6070000}"/>
    <cellStyle name="Comma 4 2 2 2 2 2 5 3 2" xfId="23190" xr:uid="{2AE79530-F33A-4026-A7B7-DF02605D792C}"/>
    <cellStyle name="Comma 4 2 2 2 2 2 5 3 3" xfId="14749" xr:uid="{1247A451-5E2B-42E6-9E06-2918DC8694A0}"/>
    <cellStyle name="Comma 4 2 2 2 2 2 5 4" xfId="18972" xr:uid="{C30963BD-1410-427E-B7E1-3BDCD2F18671}"/>
    <cellStyle name="Comma 4 2 2 2 2 2 5 5" xfId="10498" xr:uid="{0038CC9D-D93A-433F-93D5-5ECD5E551053}"/>
    <cellStyle name="Comma 4 2 2 2 2 2 6" xfId="2384" xr:uid="{00000000-0005-0000-0000-0000B7070000}"/>
    <cellStyle name="Comma 4 2 2 2 2 2 6 2" xfId="6668" xr:uid="{00000000-0005-0000-0000-0000B8070000}"/>
    <cellStyle name="Comma 4 2 2 2 2 2 6 2 2" xfId="23603" xr:uid="{46E3E555-B7BA-4139-921E-94C5D72B874F}"/>
    <cellStyle name="Comma 4 2 2 2 2 2 6 2 3" xfId="15162" xr:uid="{7D1847B8-EC02-4B9B-830E-D119EF69C210}"/>
    <cellStyle name="Comma 4 2 2 2 2 2 6 3" xfId="19385" xr:uid="{8DAF5DD0-E4C9-44AF-8561-CBE6371C2896}"/>
    <cellStyle name="Comma 4 2 2 2 2 2 6 4" xfId="10933" xr:uid="{23B2500A-FF72-438E-BB46-16BABADD0A8E}"/>
    <cellStyle name="Comma 4 2 2 2 2 2 7" xfId="2379" xr:uid="{00000000-0005-0000-0000-0000B9070000}"/>
    <cellStyle name="Comma 4 2 2 2 2 2 7 2" xfId="10928" xr:uid="{B91DD597-D55D-42A7-8C02-E1A1D072CE7F}"/>
    <cellStyle name="Comma 4 2 2 2 2 2 8" xfId="2762" xr:uid="{00000000-0005-0000-0000-0000BA070000}"/>
    <cellStyle name="Comma 4 2 2 2 2 2 8 2" xfId="6985" xr:uid="{00000000-0005-0000-0000-0000BB070000}"/>
    <cellStyle name="Comma 4 2 2 2 2 2 8 2 2" xfId="23920" xr:uid="{B39F8A13-6E74-439C-B5A0-0C44CA44973B}"/>
    <cellStyle name="Comma 4 2 2 2 2 2 8 2 3" xfId="15479" xr:uid="{8207E7C8-4514-423E-A4BE-37CA854938CF}"/>
    <cellStyle name="Comma 4 2 2 2 2 2 8 3" xfId="19702" xr:uid="{28B18E84-4BE0-41E4-8A7B-E5CE3904169B}"/>
    <cellStyle name="Comma 4 2 2 2 2 2 8 4" xfId="11260" xr:uid="{E9762338-9897-4BF3-ABD4-BF635E1A248D}"/>
    <cellStyle name="Comma 4 2 2 2 2 2 9" xfId="4602" xr:uid="{00000000-0005-0000-0000-0000BC070000}"/>
    <cellStyle name="Comma 4 2 2 2 2 2 9 2" xfId="21537" xr:uid="{E6CF5AAD-B847-4B08-B78A-3ACAFBBB670F}"/>
    <cellStyle name="Comma 4 2 2 2 2 2 9 3" xfId="13096" xr:uid="{C91CC77F-4EB2-4B85-AE23-5D9867ED255A}"/>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095" xr:uid="{037B8D60-4EF5-46B0-8961-054F5CE1F300}"/>
    <cellStyle name="Comma 4 2 2 2 2 3 2 2 3" xfId="15654" xr:uid="{50BA1895-BA14-4DA0-8A3D-703916415A9D}"/>
    <cellStyle name="Comma 4 2 2 2 2 3 2 3" xfId="19877" xr:uid="{3EC427E4-9D00-4510-AB36-155F69717422}"/>
    <cellStyle name="Comma 4 2 2 2 2 3 2 4" xfId="11435" xr:uid="{2C606848-4127-4DA3-AF0B-FC864752D0B3}"/>
    <cellStyle name="Comma 4 2 2 2 2 3 3" xfId="5015" xr:uid="{00000000-0005-0000-0000-0000C0070000}"/>
    <cellStyle name="Comma 4 2 2 2 2 3 3 2" xfId="21950" xr:uid="{AE9618D5-83E9-40CD-9D87-96726DD2486C}"/>
    <cellStyle name="Comma 4 2 2 2 2 3 3 3" xfId="13509" xr:uid="{A714E15C-E44F-46DE-81EE-D27647BC2460}"/>
    <cellStyle name="Comma 4 2 2 2 2 3 4" xfId="17732" xr:uid="{1DC8EF50-1D6F-4143-B5BE-508E200FE4EC}"/>
    <cellStyle name="Comma 4 2 2 2 2 3 5" xfId="9257" xr:uid="{5AE0CC44-9473-4F55-8E6D-E7E08B93CDE0}"/>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4508" xr:uid="{BE7B9572-967E-4996-ABC5-59FAF2409B7B}"/>
    <cellStyle name="Comma 4 2 2 2 2 4 2 2 3" xfId="16067" xr:uid="{B28D03FF-F94C-4D69-8630-6ADD49207B87}"/>
    <cellStyle name="Comma 4 2 2 2 2 4 2 3" xfId="20290" xr:uid="{A9210B95-3FF6-48D5-94D8-A5F46711839C}"/>
    <cellStyle name="Comma 4 2 2 2 2 4 2 4" xfId="11848" xr:uid="{8AC64A75-C78D-4195-B061-164C0118456A}"/>
    <cellStyle name="Comma 4 2 2 2 2 4 3" xfId="5428" xr:uid="{00000000-0005-0000-0000-0000C4070000}"/>
    <cellStyle name="Comma 4 2 2 2 2 4 3 2" xfId="22363" xr:uid="{68345789-C40C-4B5A-AA47-D0DBB68F3EBD}"/>
    <cellStyle name="Comma 4 2 2 2 2 4 3 3" xfId="13922" xr:uid="{5AD8A936-0102-4D21-A4CA-8DB459EA00A1}"/>
    <cellStyle name="Comma 4 2 2 2 2 4 4" xfId="18145" xr:uid="{AB3791B9-6C56-464C-87DE-8766049DDFAE}"/>
    <cellStyle name="Comma 4 2 2 2 2 4 5" xfId="9671" xr:uid="{502A9187-5146-43E8-941B-76E7AB899A4E}"/>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4921" xr:uid="{3B6FD768-B561-4FF7-9F72-13C100B7018F}"/>
    <cellStyle name="Comma 4 2 2 2 2 5 2 2 3" xfId="16480" xr:uid="{18B7BCE0-466D-48AC-8BD3-E1D6E974E599}"/>
    <cellStyle name="Comma 4 2 2 2 2 5 2 3" xfId="20703" xr:uid="{0974CDBB-46FC-45DF-9DD9-97F1C14073BC}"/>
    <cellStyle name="Comma 4 2 2 2 2 5 2 4" xfId="12261" xr:uid="{92F967ED-DFFD-41EC-B94D-46F182170E14}"/>
    <cellStyle name="Comma 4 2 2 2 2 5 3" xfId="5841" xr:uid="{00000000-0005-0000-0000-0000C8070000}"/>
    <cellStyle name="Comma 4 2 2 2 2 5 3 2" xfId="22776" xr:uid="{AFB5C3BE-463D-415A-AF08-3ADED771A9D1}"/>
    <cellStyle name="Comma 4 2 2 2 2 5 3 3" xfId="14335" xr:uid="{900A316E-8B4A-4A6D-996E-EDE7CC58C544}"/>
    <cellStyle name="Comma 4 2 2 2 2 5 4" xfId="18558" xr:uid="{523BF2BC-D0F6-423E-892D-05DDA6D96C04}"/>
    <cellStyle name="Comma 4 2 2 2 2 5 5" xfId="10084" xr:uid="{F08D1CC4-FB88-404F-A28C-B7D4B5E4C284}"/>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5334" xr:uid="{9DBE260E-E5C4-4750-84AF-FBF763397718}"/>
    <cellStyle name="Comma 4 2 2 2 2 6 2 2 3" xfId="16893" xr:uid="{C4DA0521-4E39-453C-9961-03EAEB085488}"/>
    <cellStyle name="Comma 4 2 2 2 2 6 2 3" xfId="21116" xr:uid="{03890917-3267-488D-AB7B-D1513967E7B4}"/>
    <cellStyle name="Comma 4 2 2 2 2 6 2 4" xfId="12674" xr:uid="{4EEC0A2E-3A7C-4871-B326-8B37D013DAEB}"/>
    <cellStyle name="Comma 4 2 2 2 2 6 3" xfId="6254" xr:uid="{00000000-0005-0000-0000-0000CC070000}"/>
    <cellStyle name="Comma 4 2 2 2 2 6 3 2" xfId="23189" xr:uid="{E233B098-BD6A-4FFF-B0A5-9386F0EA64A4}"/>
    <cellStyle name="Comma 4 2 2 2 2 6 3 3" xfId="14748" xr:uid="{66486A38-BD19-48FD-86C0-D7760EA1B264}"/>
    <cellStyle name="Comma 4 2 2 2 2 6 4" xfId="18971" xr:uid="{92EE4562-3ABB-45E2-96C1-C0A49E2904C6}"/>
    <cellStyle name="Comma 4 2 2 2 2 6 5" xfId="10497" xr:uid="{1A9B62AE-3736-42EA-954D-35E45162CCDD}"/>
    <cellStyle name="Comma 4 2 2 2 2 7" xfId="2383" xr:uid="{00000000-0005-0000-0000-0000CD070000}"/>
    <cellStyle name="Comma 4 2 2 2 2 7 2" xfId="6667" xr:uid="{00000000-0005-0000-0000-0000CE070000}"/>
    <cellStyle name="Comma 4 2 2 2 2 7 2 2" xfId="23602" xr:uid="{7CEFBBA5-0349-43A3-83FB-0712CD49AF23}"/>
    <cellStyle name="Comma 4 2 2 2 2 7 2 3" xfId="15161" xr:uid="{F07ECECD-AFEE-4A9F-95C3-7B37355A7857}"/>
    <cellStyle name="Comma 4 2 2 2 2 7 3" xfId="19384" xr:uid="{8C862BE3-FC7C-46AE-95F4-EC266417759B}"/>
    <cellStyle name="Comma 4 2 2 2 2 7 4" xfId="10932" xr:uid="{682EFEB8-BFBE-44AB-87D9-FBF532D6641B}"/>
    <cellStyle name="Comma 4 2 2 2 2 8" xfId="2380" xr:uid="{00000000-0005-0000-0000-0000CF070000}"/>
    <cellStyle name="Comma 4 2 2 2 2 8 2" xfId="10929" xr:uid="{2DC7D612-ECBD-4DDB-BEAF-20CF3F4BE2E4}"/>
    <cellStyle name="Comma 4 2 2 2 2 9" xfId="2761" xr:uid="{00000000-0005-0000-0000-0000D0070000}"/>
    <cellStyle name="Comma 4 2 2 2 2 9 2" xfId="6984" xr:uid="{00000000-0005-0000-0000-0000D1070000}"/>
    <cellStyle name="Comma 4 2 2 2 2 9 2 2" xfId="23919" xr:uid="{2057620C-8F8B-4AFC-AFEE-D1AC9F5274F9}"/>
    <cellStyle name="Comma 4 2 2 2 2 9 2 3" xfId="15478" xr:uid="{2DCCDE16-3E19-4824-8E09-398E1E2BB3E9}"/>
    <cellStyle name="Comma 4 2 2 2 2 9 3" xfId="19701" xr:uid="{17B1BC82-DC60-4DC4-ADC4-6618E82EE71A}"/>
    <cellStyle name="Comma 4 2 2 2 2 9 4" xfId="11259" xr:uid="{4B232475-8BA9-4CD5-934C-EEFBA647EC49}"/>
    <cellStyle name="Comma 4 2 2 2 3" xfId="131" xr:uid="{00000000-0005-0000-0000-0000D2070000}"/>
    <cellStyle name="Comma 4 2 2 2 3 10" xfId="17320" xr:uid="{81E951A6-A0CA-4B8D-90D2-436C9A428C43}"/>
    <cellStyle name="Comma 4 2 2 2 3 11" xfId="8841" xr:uid="{98E4570B-BD2B-40A5-9017-513A4C12CA09}"/>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097" xr:uid="{BECE6804-1469-4B39-9319-EF3DE2DDBDC9}"/>
    <cellStyle name="Comma 4 2 2 2 3 2 2 2 3" xfId="15656" xr:uid="{B7AFF17B-20CF-4022-A1B3-01E9E04ECACC}"/>
    <cellStyle name="Comma 4 2 2 2 3 2 2 3" xfId="19879" xr:uid="{58156311-8AAB-4CB1-966E-8053B354CF51}"/>
    <cellStyle name="Comma 4 2 2 2 3 2 2 4" xfId="11437" xr:uid="{DE880466-9D00-4C12-9E40-BC4CC9092169}"/>
    <cellStyle name="Comma 4 2 2 2 3 2 3" xfId="5017" xr:uid="{00000000-0005-0000-0000-0000D6070000}"/>
    <cellStyle name="Comma 4 2 2 2 3 2 3 2" xfId="21952" xr:uid="{CBDFDFD7-CAF7-414A-A4F0-75DECFA695AD}"/>
    <cellStyle name="Comma 4 2 2 2 3 2 3 3" xfId="13511" xr:uid="{1FB9D04F-1C0C-49A9-B6F2-DC46DB731ACA}"/>
    <cellStyle name="Comma 4 2 2 2 3 2 4" xfId="17734" xr:uid="{3842D73C-AF2B-4D28-809F-91A159F9B480}"/>
    <cellStyle name="Comma 4 2 2 2 3 2 5" xfId="9259" xr:uid="{57EB1509-8FFE-4209-9925-49B65D47B5BC}"/>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4510" xr:uid="{39B8B460-E781-42C0-B2A7-5D1E1DB9CCE2}"/>
    <cellStyle name="Comma 4 2 2 2 3 3 2 2 3" xfId="16069" xr:uid="{80AFB686-90F5-485A-9F4F-8D26BC633621}"/>
    <cellStyle name="Comma 4 2 2 2 3 3 2 3" xfId="20292" xr:uid="{794A9855-1211-49C2-B0DE-06935572A1C7}"/>
    <cellStyle name="Comma 4 2 2 2 3 3 2 4" xfId="11850" xr:uid="{635A3F3F-0B10-443D-B526-A44962D5FBB8}"/>
    <cellStyle name="Comma 4 2 2 2 3 3 3" xfId="5430" xr:uid="{00000000-0005-0000-0000-0000DA070000}"/>
    <cellStyle name="Comma 4 2 2 2 3 3 3 2" xfId="22365" xr:uid="{51969726-D7E2-4B7F-83E5-91FC6644C85E}"/>
    <cellStyle name="Comma 4 2 2 2 3 3 3 3" xfId="13924" xr:uid="{169B5BD9-A981-436E-B1FA-633ED4D1C231}"/>
    <cellStyle name="Comma 4 2 2 2 3 3 4" xfId="18147" xr:uid="{969ED674-A4E8-44C8-8CDD-4C52F2A7B54F}"/>
    <cellStyle name="Comma 4 2 2 2 3 3 5" xfId="9673" xr:uid="{2952BA5E-FDFF-4493-BF19-5DD2EE09F197}"/>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4923" xr:uid="{B3EF0927-59EF-4E14-A526-B424F03C5993}"/>
    <cellStyle name="Comma 4 2 2 2 3 4 2 2 3" xfId="16482" xr:uid="{861D6389-FE0B-493C-A557-A148C6F2A74E}"/>
    <cellStyle name="Comma 4 2 2 2 3 4 2 3" xfId="20705" xr:uid="{821E28CE-517B-41D9-938A-6ADF80F49403}"/>
    <cellStyle name="Comma 4 2 2 2 3 4 2 4" xfId="12263" xr:uid="{FE875500-D401-4D0A-897A-06761E2C32A5}"/>
    <cellStyle name="Comma 4 2 2 2 3 4 3" xfId="5843" xr:uid="{00000000-0005-0000-0000-0000DE070000}"/>
    <cellStyle name="Comma 4 2 2 2 3 4 3 2" xfId="22778" xr:uid="{CDB4CAC8-3CA4-48D3-8E65-AD0C7D6C57C7}"/>
    <cellStyle name="Comma 4 2 2 2 3 4 3 3" xfId="14337" xr:uid="{E3328332-8666-4D4B-B6B4-9A1AE9050B45}"/>
    <cellStyle name="Comma 4 2 2 2 3 4 4" xfId="18560" xr:uid="{BACA7F6D-24E5-44B3-8635-090DF4EB38DF}"/>
    <cellStyle name="Comma 4 2 2 2 3 4 5" xfId="10086" xr:uid="{E9DBD765-A186-4D71-8D86-9486E1A6A74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5336" xr:uid="{ED7595D2-62C0-4C56-8C61-E2AC3E12AFE1}"/>
    <cellStyle name="Comma 4 2 2 2 3 5 2 2 3" xfId="16895" xr:uid="{4CD7C72B-933A-4070-84D2-1DBB1089D225}"/>
    <cellStyle name="Comma 4 2 2 2 3 5 2 3" xfId="21118" xr:uid="{519E8E0E-829D-44AA-B47E-37BC10CA738D}"/>
    <cellStyle name="Comma 4 2 2 2 3 5 2 4" xfId="12676" xr:uid="{5F6C77C8-04FE-47DE-8493-B4580D743A90}"/>
    <cellStyle name="Comma 4 2 2 2 3 5 3" xfId="6256" xr:uid="{00000000-0005-0000-0000-0000E2070000}"/>
    <cellStyle name="Comma 4 2 2 2 3 5 3 2" xfId="23191" xr:uid="{3779766E-F37D-40E2-B6B1-28EDF54E3594}"/>
    <cellStyle name="Comma 4 2 2 2 3 5 3 3" xfId="14750" xr:uid="{D4051222-BFE5-4E53-A838-963B249415AD}"/>
    <cellStyle name="Comma 4 2 2 2 3 5 4" xfId="18973" xr:uid="{CC791949-9563-42D1-BFA0-3BF78A08F273}"/>
    <cellStyle name="Comma 4 2 2 2 3 5 5" xfId="10499" xr:uid="{0EA7DB65-45B9-4D72-B09A-58D0E0A924FF}"/>
    <cellStyle name="Comma 4 2 2 2 3 6" xfId="2385" xr:uid="{00000000-0005-0000-0000-0000E3070000}"/>
    <cellStyle name="Comma 4 2 2 2 3 6 2" xfId="6669" xr:uid="{00000000-0005-0000-0000-0000E4070000}"/>
    <cellStyle name="Comma 4 2 2 2 3 6 2 2" xfId="23604" xr:uid="{0A411FD7-EC08-422B-BBAD-CF3D2D254CC8}"/>
    <cellStyle name="Comma 4 2 2 2 3 6 2 3" xfId="15163" xr:uid="{8CF0AF13-7239-48C6-AAEF-6312FA75E0C6}"/>
    <cellStyle name="Comma 4 2 2 2 3 6 3" xfId="19386" xr:uid="{07410968-30E2-48F5-8AD6-C13A55BF628A}"/>
    <cellStyle name="Comma 4 2 2 2 3 6 4" xfId="10934" xr:uid="{E7B5AA39-CBF0-41DF-B933-F17BE450B880}"/>
    <cellStyle name="Comma 4 2 2 2 3 7" xfId="2378" xr:uid="{00000000-0005-0000-0000-0000E5070000}"/>
    <cellStyle name="Comma 4 2 2 2 3 7 2" xfId="10927" xr:uid="{9B57BDEF-4BB1-4B5B-89FE-A2660DB8A8C3}"/>
    <cellStyle name="Comma 4 2 2 2 3 8" xfId="2763" xr:uid="{00000000-0005-0000-0000-0000E6070000}"/>
    <cellStyle name="Comma 4 2 2 2 3 8 2" xfId="6986" xr:uid="{00000000-0005-0000-0000-0000E7070000}"/>
    <cellStyle name="Comma 4 2 2 2 3 8 2 2" xfId="23921" xr:uid="{05D458DD-006B-4A30-A179-6DD9B9180918}"/>
    <cellStyle name="Comma 4 2 2 2 3 8 2 3" xfId="15480" xr:uid="{32218F0D-582A-47B8-8B21-66127ACED60E}"/>
    <cellStyle name="Comma 4 2 2 2 3 8 3" xfId="19703" xr:uid="{A16DED6C-2A7D-48E9-BC67-EB5D94A72B13}"/>
    <cellStyle name="Comma 4 2 2 2 3 8 4" xfId="11261" xr:uid="{12E88D8E-2197-475E-99EF-6A40FF7F404A}"/>
    <cellStyle name="Comma 4 2 2 2 3 9" xfId="4603" xr:uid="{00000000-0005-0000-0000-0000E8070000}"/>
    <cellStyle name="Comma 4 2 2 2 3 9 2" xfId="21538" xr:uid="{F8EB978A-F6AA-40F1-8F53-BE2CAD4F4F44}"/>
    <cellStyle name="Comma 4 2 2 2 3 9 3" xfId="13097" xr:uid="{46C852BD-F9BE-4C36-AEB4-4A53E274CDE5}"/>
    <cellStyle name="Comma 4 2 2 2 4" xfId="666" xr:uid="{00000000-0005-0000-0000-0000E9070000}"/>
    <cellStyle name="Comma 4 2 2 2 4 2" xfId="2937" xr:uid="{00000000-0005-0000-0000-0000EA070000}"/>
    <cellStyle name="Comma 4 2 2 2 4 2 2" xfId="7159" xr:uid="{00000000-0005-0000-0000-0000EB070000}"/>
    <cellStyle name="Comma 4 2 2 2 4 2 2 2" xfId="24094" xr:uid="{7DFC8A37-FA7E-4F07-A4E8-0B90200BE82D}"/>
    <cellStyle name="Comma 4 2 2 2 4 2 2 3" xfId="15653" xr:uid="{96B484C7-3EC6-4258-9646-4A57D889B3FC}"/>
    <cellStyle name="Comma 4 2 2 2 4 2 3" xfId="19876" xr:uid="{0F92B278-AC0E-427A-9D01-63BF762E80FE}"/>
    <cellStyle name="Comma 4 2 2 2 4 2 4" xfId="11434" xr:uid="{36D6DDD2-451A-4D9E-89D8-73314269602D}"/>
    <cellStyle name="Comma 4 2 2 2 4 3" xfId="5014" xr:uid="{00000000-0005-0000-0000-0000EC070000}"/>
    <cellStyle name="Comma 4 2 2 2 4 3 2" xfId="21949" xr:uid="{234AB926-9386-4825-98FC-DEDD0C540370}"/>
    <cellStyle name="Comma 4 2 2 2 4 3 3" xfId="13508" xr:uid="{2D68057A-9876-42A1-83C8-F1506F3CA6D3}"/>
    <cellStyle name="Comma 4 2 2 2 4 4" xfId="17731" xr:uid="{391C4D1C-D4B7-407A-9F07-DEDB42EB1932}"/>
    <cellStyle name="Comma 4 2 2 2 4 5" xfId="9256" xr:uid="{16782B75-BE81-4D35-BA1A-3E914ACE6848}"/>
    <cellStyle name="Comma 4 2 2 2 5" xfId="1119" xr:uid="{00000000-0005-0000-0000-0000ED070000}"/>
    <cellStyle name="Comma 4 2 2 2 5 2" xfId="3350" xr:uid="{00000000-0005-0000-0000-0000EE070000}"/>
    <cellStyle name="Comma 4 2 2 2 5 2 2" xfId="7572" xr:uid="{00000000-0005-0000-0000-0000EF070000}"/>
    <cellStyle name="Comma 4 2 2 2 5 2 2 2" xfId="24507" xr:uid="{51910CA2-F1F9-44EE-8173-08D238D1E7CE}"/>
    <cellStyle name="Comma 4 2 2 2 5 2 2 3" xfId="16066" xr:uid="{EA68CFD6-2549-48A2-A17D-AE7D218DB833}"/>
    <cellStyle name="Comma 4 2 2 2 5 2 3" xfId="20289" xr:uid="{42F00DDC-A857-4A80-BD9A-513866479C97}"/>
    <cellStyle name="Comma 4 2 2 2 5 2 4" xfId="11847" xr:uid="{899E08B0-0F8E-4777-AA6F-6F259735F929}"/>
    <cellStyle name="Comma 4 2 2 2 5 3" xfId="5427" xr:uid="{00000000-0005-0000-0000-0000F0070000}"/>
    <cellStyle name="Comma 4 2 2 2 5 3 2" xfId="22362" xr:uid="{65521CF0-767F-4BB4-AC2F-C3141ADE50B6}"/>
    <cellStyle name="Comma 4 2 2 2 5 3 3" xfId="13921" xr:uid="{68355987-BA1F-42FB-B6DB-D0256AB8EC27}"/>
    <cellStyle name="Comma 4 2 2 2 5 4" xfId="18144" xr:uid="{12084C37-35EA-46E9-BADE-B7B0F202A8D2}"/>
    <cellStyle name="Comma 4 2 2 2 5 5" xfId="9670" xr:uid="{88733374-48B8-4D78-994A-116AC5E6A935}"/>
    <cellStyle name="Comma 4 2 2 2 6" xfId="1533" xr:uid="{00000000-0005-0000-0000-0000F1070000}"/>
    <cellStyle name="Comma 4 2 2 2 6 2" xfId="3763" xr:uid="{00000000-0005-0000-0000-0000F2070000}"/>
    <cellStyle name="Comma 4 2 2 2 6 2 2" xfId="7985" xr:uid="{00000000-0005-0000-0000-0000F3070000}"/>
    <cellStyle name="Comma 4 2 2 2 6 2 2 2" xfId="24920" xr:uid="{47D01C9D-3121-4052-BFC2-D0626E9D8FAC}"/>
    <cellStyle name="Comma 4 2 2 2 6 2 2 3" xfId="16479" xr:uid="{02CC7029-6E6D-47FA-A7B3-A70066D3951C}"/>
    <cellStyle name="Comma 4 2 2 2 6 2 3" xfId="20702" xr:uid="{250443B3-042F-4430-BEFC-D69BE50AEE15}"/>
    <cellStyle name="Comma 4 2 2 2 6 2 4" xfId="12260" xr:uid="{44DF21B7-A82B-43B0-9968-8583496D689D}"/>
    <cellStyle name="Comma 4 2 2 2 6 3" xfId="5840" xr:uid="{00000000-0005-0000-0000-0000F4070000}"/>
    <cellStyle name="Comma 4 2 2 2 6 3 2" xfId="22775" xr:uid="{CDA17DA1-A99F-4C7A-B43B-3807AC2FF6FB}"/>
    <cellStyle name="Comma 4 2 2 2 6 3 3" xfId="14334" xr:uid="{EBEBFF4E-F4D8-4CA8-ABCE-F32225FC713F}"/>
    <cellStyle name="Comma 4 2 2 2 6 4" xfId="18557" xr:uid="{4B610570-E88A-44D4-A428-82BACB31A02B}"/>
    <cellStyle name="Comma 4 2 2 2 6 5" xfId="10083" xr:uid="{2A8AA803-0CE7-46BA-AF9F-70225AF9E726}"/>
    <cellStyle name="Comma 4 2 2 2 7" xfId="1947" xr:uid="{00000000-0005-0000-0000-0000F5070000}"/>
    <cellStyle name="Comma 4 2 2 2 7 2" xfId="4176" xr:uid="{00000000-0005-0000-0000-0000F6070000}"/>
    <cellStyle name="Comma 4 2 2 2 7 2 2" xfId="8398" xr:uid="{00000000-0005-0000-0000-0000F7070000}"/>
    <cellStyle name="Comma 4 2 2 2 7 2 2 2" xfId="25333" xr:uid="{E3EC24D9-E179-4EA9-B1FD-0871412D6D8B}"/>
    <cellStyle name="Comma 4 2 2 2 7 2 2 3" xfId="16892" xr:uid="{069DA0C0-6D21-4202-93B1-2D4190F44515}"/>
    <cellStyle name="Comma 4 2 2 2 7 2 3" xfId="21115" xr:uid="{B5854F04-DC1F-43B6-805A-BCD5D9E8727D}"/>
    <cellStyle name="Comma 4 2 2 2 7 2 4" xfId="12673" xr:uid="{1F9F25A9-B604-451D-A643-1AC8D6A94D28}"/>
    <cellStyle name="Comma 4 2 2 2 7 3" xfId="6253" xr:uid="{00000000-0005-0000-0000-0000F8070000}"/>
    <cellStyle name="Comma 4 2 2 2 7 3 2" xfId="23188" xr:uid="{169B5915-9D26-431A-8AA3-810F0AAE3D8B}"/>
    <cellStyle name="Comma 4 2 2 2 7 3 3" xfId="14747" xr:uid="{2BF538DC-3D6B-413B-8922-336E8B83BC51}"/>
    <cellStyle name="Comma 4 2 2 2 7 4" xfId="18970" xr:uid="{4B540C31-8E6A-4A5D-BFC4-52B02B74AACE}"/>
    <cellStyle name="Comma 4 2 2 2 7 5" xfId="10496" xr:uid="{9A5042C4-E23F-4DC3-B25A-2DA1A4EF628A}"/>
    <cellStyle name="Comma 4 2 2 2 8" xfId="2382" xr:uid="{00000000-0005-0000-0000-0000F9070000}"/>
    <cellStyle name="Comma 4 2 2 2 8 2" xfId="6666" xr:uid="{00000000-0005-0000-0000-0000FA070000}"/>
    <cellStyle name="Comma 4 2 2 2 8 2 2" xfId="23601" xr:uid="{0C79DDAB-AB36-4C95-B486-0601E935327D}"/>
    <cellStyle name="Comma 4 2 2 2 8 2 3" xfId="15160" xr:uid="{80FA166F-2825-4DD6-8B51-A7CE8B9D2EC2}"/>
    <cellStyle name="Comma 4 2 2 2 8 3" xfId="19383" xr:uid="{0A8DC57E-44FA-4E82-9EB0-910DB1F7140B}"/>
    <cellStyle name="Comma 4 2 2 2 8 4" xfId="10931" xr:uid="{D1080812-331C-424D-BE69-DFD7EBC4F561}"/>
    <cellStyle name="Comma 4 2 2 2 9" xfId="2381" xr:uid="{00000000-0005-0000-0000-0000FB070000}"/>
    <cellStyle name="Comma 4 2 2 2 9 2" xfId="10930" xr:uid="{C0BBFAC4-C280-4FA9-9658-87DC24E3A047}"/>
    <cellStyle name="Comma 4 2 2 3" xfId="132" xr:uid="{00000000-0005-0000-0000-0000FC070000}"/>
    <cellStyle name="Comma 4 2 2 3 10" xfId="4604" xr:uid="{00000000-0005-0000-0000-0000FD070000}"/>
    <cellStyle name="Comma 4 2 2 3 10 2" xfId="21539" xr:uid="{D93C7DBD-C5D7-4C6B-8B87-A037B8B943DA}"/>
    <cellStyle name="Comma 4 2 2 3 10 3" xfId="13098" xr:uid="{C3805FCB-88D8-465F-B8CA-385C313E6DC9}"/>
    <cellStyle name="Comma 4 2 2 3 11" xfId="17321" xr:uid="{EB179303-1BE1-4591-8F46-812A7F7A44E8}"/>
    <cellStyle name="Comma 4 2 2 3 12" xfId="8842" xr:uid="{08C58A6A-5FF3-4E29-A0AB-C05F08926B1E}"/>
    <cellStyle name="Comma 4 2 2 3 2" xfId="133" xr:uid="{00000000-0005-0000-0000-0000FE070000}"/>
    <cellStyle name="Comma 4 2 2 3 2 10" xfId="17322" xr:uid="{A01938CA-70FB-4A0C-BFD6-8F3FBF6B6BB5}"/>
    <cellStyle name="Comma 4 2 2 3 2 11" xfId="8843" xr:uid="{34CFEFA8-85BF-4C4F-B3CA-4AA34F91C52A}"/>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099" xr:uid="{3E97E44A-FE20-41AB-94FB-2F654282224D}"/>
    <cellStyle name="Comma 4 2 2 3 2 2 2 2 3" xfId="15658" xr:uid="{CCDEF41F-3C3D-4FF5-99D5-704D005E2426}"/>
    <cellStyle name="Comma 4 2 2 3 2 2 2 3" xfId="19881" xr:uid="{64FE689E-8570-4727-BC50-2CF67488A968}"/>
    <cellStyle name="Comma 4 2 2 3 2 2 2 4" xfId="11439" xr:uid="{2113500A-9501-45EA-8DD7-666690164711}"/>
    <cellStyle name="Comma 4 2 2 3 2 2 3" xfId="5019" xr:uid="{00000000-0005-0000-0000-000002080000}"/>
    <cellStyle name="Comma 4 2 2 3 2 2 3 2" xfId="21954" xr:uid="{B5CD8848-3D90-4BCF-88C8-6797A36E3EBA}"/>
    <cellStyle name="Comma 4 2 2 3 2 2 3 3" xfId="13513" xr:uid="{5D0FFEF9-82E3-43B4-B305-D78F7CA64AC1}"/>
    <cellStyle name="Comma 4 2 2 3 2 2 4" xfId="17736" xr:uid="{764EDD85-0521-4997-9725-C0315C4F4998}"/>
    <cellStyle name="Comma 4 2 2 3 2 2 5" xfId="9261" xr:uid="{ABB8F1E2-347F-427E-A50A-FDB7968C6406}"/>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4512" xr:uid="{16F01E46-10AC-4742-B18B-CD017845CE88}"/>
    <cellStyle name="Comma 4 2 2 3 2 3 2 2 3" xfId="16071" xr:uid="{BDF5EB78-EB06-40AA-8C85-B16A65EAAD4E}"/>
    <cellStyle name="Comma 4 2 2 3 2 3 2 3" xfId="20294" xr:uid="{211A5E12-A90C-4714-9EB6-4CC7369B382D}"/>
    <cellStyle name="Comma 4 2 2 3 2 3 2 4" xfId="11852" xr:uid="{F572CBE7-456F-4A38-95BB-25A81D9424DD}"/>
    <cellStyle name="Comma 4 2 2 3 2 3 3" xfId="5432" xr:uid="{00000000-0005-0000-0000-000006080000}"/>
    <cellStyle name="Comma 4 2 2 3 2 3 3 2" xfId="22367" xr:uid="{E74C4608-D9F0-4218-A484-90DFE51E8F3F}"/>
    <cellStyle name="Comma 4 2 2 3 2 3 3 3" xfId="13926" xr:uid="{B98E32A2-F082-49CE-937B-40079886B09C}"/>
    <cellStyle name="Comma 4 2 2 3 2 3 4" xfId="18149" xr:uid="{1A3AE017-97FD-46DC-8420-F30F732A7629}"/>
    <cellStyle name="Comma 4 2 2 3 2 3 5" xfId="9675" xr:uid="{76F8CF6C-D19D-4B63-AEFE-AA94614E0C6B}"/>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4925" xr:uid="{2CAB4DF9-B1E6-4593-B3E9-4EA579F59CD0}"/>
    <cellStyle name="Comma 4 2 2 3 2 4 2 2 3" xfId="16484" xr:uid="{D1F87A3E-A004-42DD-8E0C-20EEF49E8011}"/>
    <cellStyle name="Comma 4 2 2 3 2 4 2 3" xfId="20707" xr:uid="{B178F4CC-7BAE-4749-BCC2-28D35C285B98}"/>
    <cellStyle name="Comma 4 2 2 3 2 4 2 4" xfId="12265" xr:uid="{EC35C971-8B97-4317-B126-E2D8EEB153D8}"/>
    <cellStyle name="Comma 4 2 2 3 2 4 3" xfId="5845" xr:uid="{00000000-0005-0000-0000-00000A080000}"/>
    <cellStyle name="Comma 4 2 2 3 2 4 3 2" xfId="22780" xr:uid="{CA908541-36A3-475C-A6BE-F0374C6839BC}"/>
    <cellStyle name="Comma 4 2 2 3 2 4 3 3" xfId="14339" xr:uid="{52740805-E1A9-4194-A0FD-777694E531F9}"/>
    <cellStyle name="Comma 4 2 2 3 2 4 4" xfId="18562" xr:uid="{C9235583-C799-4A35-913A-7E3014005ACA}"/>
    <cellStyle name="Comma 4 2 2 3 2 4 5" xfId="10088" xr:uid="{6ADE3D20-1D07-49C7-98A2-CDADE91EF6AD}"/>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5338" xr:uid="{4FAECA96-BA21-4FFD-906A-708E56A39C4C}"/>
    <cellStyle name="Comma 4 2 2 3 2 5 2 2 3" xfId="16897" xr:uid="{5E29D41A-D2B7-45C6-BC9E-23D48342DE2A}"/>
    <cellStyle name="Comma 4 2 2 3 2 5 2 3" xfId="21120" xr:uid="{409693EB-09DF-4851-9F74-86E571F55244}"/>
    <cellStyle name="Comma 4 2 2 3 2 5 2 4" xfId="12678" xr:uid="{3E83FBFC-6D9E-4A7D-AD09-C811F63B4C87}"/>
    <cellStyle name="Comma 4 2 2 3 2 5 3" xfId="6258" xr:uid="{00000000-0005-0000-0000-00000E080000}"/>
    <cellStyle name="Comma 4 2 2 3 2 5 3 2" xfId="23193" xr:uid="{676CE535-2111-4E69-9848-960F2DEA10A2}"/>
    <cellStyle name="Comma 4 2 2 3 2 5 3 3" xfId="14752" xr:uid="{1710E8BF-A985-41E1-9907-A6EC3031AE70}"/>
    <cellStyle name="Comma 4 2 2 3 2 5 4" xfId="18975" xr:uid="{E4723E05-ABD9-4489-A2FB-618600506864}"/>
    <cellStyle name="Comma 4 2 2 3 2 5 5" xfId="10501" xr:uid="{D54FBFBD-2839-4679-8DB0-37956BA7FF75}"/>
    <cellStyle name="Comma 4 2 2 3 2 6" xfId="2387" xr:uid="{00000000-0005-0000-0000-00000F080000}"/>
    <cellStyle name="Comma 4 2 2 3 2 6 2" xfId="6671" xr:uid="{00000000-0005-0000-0000-000010080000}"/>
    <cellStyle name="Comma 4 2 2 3 2 6 2 2" xfId="23606" xr:uid="{EA7A3098-2BF0-4EB2-9988-6502CEFF0798}"/>
    <cellStyle name="Comma 4 2 2 3 2 6 2 3" xfId="15165" xr:uid="{C567D0B1-7288-4742-A9FB-DD5696CAB134}"/>
    <cellStyle name="Comma 4 2 2 3 2 6 3" xfId="19388" xr:uid="{C5CD4DCA-1890-4505-9299-6DC4A5F210EB}"/>
    <cellStyle name="Comma 4 2 2 3 2 6 4" xfId="10936" xr:uid="{BC81216E-2FAD-437A-9286-24DF1D98E18A}"/>
    <cellStyle name="Comma 4 2 2 3 2 7" xfId="2376" xr:uid="{00000000-0005-0000-0000-000011080000}"/>
    <cellStyle name="Comma 4 2 2 3 2 7 2" xfId="10925" xr:uid="{C6393AE8-AB53-48EC-8E1B-88F8DB860538}"/>
    <cellStyle name="Comma 4 2 2 3 2 8" xfId="2765" xr:uid="{00000000-0005-0000-0000-000012080000}"/>
    <cellStyle name="Comma 4 2 2 3 2 8 2" xfId="6988" xr:uid="{00000000-0005-0000-0000-000013080000}"/>
    <cellStyle name="Comma 4 2 2 3 2 8 2 2" xfId="23923" xr:uid="{4F57ABBA-794A-4153-A28A-EAF3C0FE10AF}"/>
    <cellStyle name="Comma 4 2 2 3 2 8 2 3" xfId="15482" xr:uid="{97F7276C-ED1C-4681-9F63-1B8F1A717736}"/>
    <cellStyle name="Comma 4 2 2 3 2 8 3" xfId="19705" xr:uid="{308708EA-D1BC-466F-B624-8DABD43B05D6}"/>
    <cellStyle name="Comma 4 2 2 3 2 8 4" xfId="11263" xr:uid="{A4879E55-4C21-4EEC-872A-D3798EA597B1}"/>
    <cellStyle name="Comma 4 2 2 3 2 9" xfId="4605" xr:uid="{00000000-0005-0000-0000-000014080000}"/>
    <cellStyle name="Comma 4 2 2 3 2 9 2" xfId="21540" xr:uid="{59FF84F9-D364-4967-8F48-A62048DB5CBB}"/>
    <cellStyle name="Comma 4 2 2 3 2 9 3" xfId="13099" xr:uid="{6C4C083B-223D-4CC0-8A1E-69A90871D5BA}"/>
    <cellStyle name="Comma 4 2 2 3 3" xfId="670" xr:uid="{00000000-0005-0000-0000-000015080000}"/>
    <cellStyle name="Comma 4 2 2 3 3 2" xfId="2941" xr:uid="{00000000-0005-0000-0000-000016080000}"/>
    <cellStyle name="Comma 4 2 2 3 3 2 2" xfId="7163" xr:uid="{00000000-0005-0000-0000-000017080000}"/>
    <cellStyle name="Comma 4 2 2 3 3 2 2 2" xfId="24098" xr:uid="{B548E149-EA7D-4129-980E-B2CDFA737268}"/>
    <cellStyle name="Comma 4 2 2 3 3 2 2 3" xfId="15657" xr:uid="{F7BDAC67-4F96-43E7-B7F1-1FB111E32510}"/>
    <cellStyle name="Comma 4 2 2 3 3 2 3" xfId="19880" xr:uid="{6C5F5801-48FF-4E12-9341-37D580919D50}"/>
    <cellStyle name="Comma 4 2 2 3 3 2 4" xfId="11438" xr:uid="{0E6651A7-A946-4424-A175-F68404407BD4}"/>
    <cellStyle name="Comma 4 2 2 3 3 3" xfId="5018" xr:uid="{00000000-0005-0000-0000-000018080000}"/>
    <cellStyle name="Comma 4 2 2 3 3 3 2" xfId="21953" xr:uid="{8BE821F6-3E68-4AB6-96CF-371A8BB7FDDE}"/>
    <cellStyle name="Comma 4 2 2 3 3 3 3" xfId="13512" xr:uid="{1A63DA32-3896-480C-ABD4-9C4FC185E62A}"/>
    <cellStyle name="Comma 4 2 2 3 3 4" xfId="17735" xr:uid="{3429AD38-B7DB-4263-9D07-4AF11616951C}"/>
    <cellStyle name="Comma 4 2 2 3 3 5" xfId="9260" xr:uid="{62CCFDB5-1F86-462E-9121-7A7C6D6CEC24}"/>
    <cellStyle name="Comma 4 2 2 3 4" xfId="1123" xr:uid="{00000000-0005-0000-0000-000019080000}"/>
    <cellStyle name="Comma 4 2 2 3 4 2" xfId="3354" xr:uid="{00000000-0005-0000-0000-00001A080000}"/>
    <cellStyle name="Comma 4 2 2 3 4 2 2" xfId="7576" xr:uid="{00000000-0005-0000-0000-00001B080000}"/>
    <cellStyle name="Comma 4 2 2 3 4 2 2 2" xfId="24511" xr:uid="{C5406EE9-8CA8-43E0-A8AB-3DD54836098A}"/>
    <cellStyle name="Comma 4 2 2 3 4 2 2 3" xfId="16070" xr:uid="{7B7BE31D-C73E-46C2-AA2B-B0A97DD40E4B}"/>
    <cellStyle name="Comma 4 2 2 3 4 2 3" xfId="20293" xr:uid="{9B8D013B-DE8D-4A95-B33F-A7146814FBB9}"/>
    <cellStyle name="Comma 4 2 2 3 4 2 4" xfId="11851" xr:uid="{2A796529-17F9-4243-86E7-C0EAD1416C14}"/>
    <cellStyle name="Comma 4 2 2 3 4 3" xfId="5431" xr:uid="{00000000-0005-0000-0000-00001C080000}"/>
    <cellStyle name="Comma 4 2 2 3 4 3 2" xfId="22366" xr:uid="{1683DA14-B637-448A-AA70-713C296D6167}"/>
    <cellStyle name="Comma 4 2 2 3 4 3 3" xfId="13925" xr:uid="{88A537B0-9CA1-4EEA-81E6-8A1832B7850D}"/>
    <cellStyle name="Comma 4 2 2 3 4 4" xfId="18148" xr:uid="{4BED1BBB-1CD5-4400-A913-CB22F105DCB9}"/>
    <cellStyle name="Comma 4 2 2 3 4 5" xfId="9674" xr:uid="{E4A0C2D8-52E1-4CD9-9C5D-3BAD5FB8F3C6}"/>
    <cellStyle name="Comma 4 2 2 3 5" xfId="1537" xr:uid="{00000000-0005-0000-0000-00001D080000}"/>
    <cellStyle name="Comma 4 2 2 3 5 2" xfId="3767" xr:uid="{00000000-0005-0000-0000-00001E080000}"/>
    <cellStyle name="Comma 4 2 2 3 5 2 2" xfId="7989" xr:uid="{00000000-0005-0000-0000-00001F080000}"/>
    <cellStyle name="Comma 4 2 2 3 5 2 2 2" xfId="24924" xr:uid="{49B383CB-4B6F-4787-9156-1EA53BA99DCF}"/>
    <cellStyle name="Comma 4 2 2 3 5 2 2 3" xfId="16483" xr:uid="{6E3C5248-08FA-4376-882D-3454DF7AD1CB}"/>
    <cellStyle name="Comma 4 2 2 3 5 2 3" xfId="20706" xr:uid="{6EAB3372-3E4B-49DC-A38E-0A0449C694C4}"/>
    <cellStyle name="Comma 4 2 2 3 5 2 4" xfId="12264" xr:uid="{BB2A43C1-58B9-4EA9-AFBE-48CE52A4FE5B}"/>
    <cellStyle name="Comma 4 2 2 3 5 3" xfId="5844" xr:uid="{00000000-0005-0000-0000-000020080000}"/>
    <cellStyle name="Comma 4 2 2 3 5 3 2" xfId="22779" xr:uid="{C1178642-F8DC-4BBA-A762-0E8C587D4ED3}"/>
    <cellStyle name="Comma 4 2 2 3 5 3 3" xfId="14338" xr:uid="{E9D858D2-3CB7-4826-8E6F-35D854227960}"/>
    <cellStyle name="Comma 4 2 2 3 5 4" xfId="18561" xr:uid="{A28FEEE6-5C69-4B62-95BA-0D73A7BC2A23}"/>
    <cellStyle name="Comma 4 2 2 3 5 5" xfId="10087" xr:uid="{B39544C4-D844-4B06-80D9-ECAD8DFBB99D}"/>
    <cellStyle name="Comma 4 2 2 3 6" xfId="1951" xr:uid="{00000000-0005-0000-0000-000021080000}"/>
    <cellStyle name="Comma 4 2 2 3 6 2" xfId="4180" xr:uid="{00000000-0005-0000-0000-000022080000}"/>
    <cellStyle name="Comma 4 2 2 3 6 2 2" xfId="8402" xr:uid="{00000000-0005-0000-0000-000023080000}"/>
    <cellStyle name="Comma 4 2 2 3 6 2 2 2" xfId="25337" xr:uid="{422BE039-A491-4282-BB80-2913A284F1A1}"/>
    <cellStyle name="Comma 4 2 2 3 6 2 2 3" xfId="16896" xr:uid="{B78CFA69-26DA-4A1C-AABA-1318BD9784A2}"/>
    <cellStyle name="Comma 4 2 2 3 6 2 3" xfId="21119" xr:uid="{2C3A7644-FF7C-4091-BD86-C426C5E1B7D0}"/>
    <cellStyle name="Comma 4 2 2 3 6 2 4" xfId="12677" xr:uid="{03FFB9CC-4874-4154-BB05-3A89FE027D21}"/>
    <cellStyle name="Comma 4 2 2 3 6 3" xfId="6257" xr:uid="{00000000-0005-0000-0000-000024080000}"/>
    <cellStyle name="Comma 4 2 2 3 6 3 2" xfId="23192" xr:uid="{A1E70EFA-546F-40EF-A25E-AC23CF9C9971}"/>
    <cellStyle name="Comma 4 2 2 3 6 3 3" xfId="14751" xr:uid="{1E0564B2-2382-48D4-865A-236032BE2D5B}"/>
    <cellStyle name="Comma 4 2 2 3 6 4" xfId="18974" xr:uid="{1D657A7B-6705-4AAC-9A8E-C187A351F595}"/>
    <cellStyle name="Comma 4 2 2 3 6 5" xfId="10500" xr:uid="{9E033B9D-AF27-4BF6-8713-37041D2D88CA}"/>
    <cellStyle name="Comma 4 2 2 3 7" xfId="2386" xr:uid="{00000000-0005-0000-0000-000025080000}"/>
    <cellStyle name="Comma 4 2 2 3 7 2" xfId="6670" xr:uid="{00000000-0005-0000-0000-000026080000}"/>
    <cellStyle name="Comma 4 2 2 3 7 2 2" xfId="23605" xr:uid="{157D892D-4BD6-4597-8B56-0BFC457E0C93}"/>
    <cellStyle name="Comma 4 2 2 3 7 2 3" xfId="15164" xr:uid="{D37B8AF9-D4D7-497B-B4DC-1193DEDD4207}"/>
    <cellStyle name="Comma 4 2 2 3 7 3" xfId="19387" xr:uid="{8BFF330C-2D0C-475B-B8DE-1667E5728A5F}"/>
    <cellStyle name="Comma 4 2 2 3 7 4" xfId="10935" xr:uid="{C165A679-9EBD-41D3-911A-ACA7D7B2F507}"/>
    <cellStyle name="Comma 4 2 2 3 8" xfId="2377" xr:uid="{00000000-0005-0000-0000-000027080000}"/>
    <cellStyle name="Comma 4 2 2 3 8 2" xfId="10926" xr:uid="{6C6BE383-E918-4B59-A220-98F2B617C1A4}"/>
    <cellStyle name="Comma 4 2 2 3 9" xfId="2764" xr:uid="{00000000-0005-0000-0000-000028080000}"/>
    <cellStyle name="Comma 4 2 2 3 9 2" xfId="6987" xr:uid="{00000000-0005-0000-0000-000029080000}"/>
    <cellStyle name="Comma 4 2 2 3 9 2 2" xfId="23922" xr:uid="{E2913CCD-4548-4B64-AC1E-93951EF0D81C}"/>
    <cellStyle name="Comma 4 2 2 3 9 2 3" xfId="15481" xr:uid="{22CD6924-4091-4B2B-9834-271B59A7CF71}"/>
    <cellStyle name="Comma 4 2 2 3 9 3" xfId="19704" xr:uid="{D6902A3B-FF8D-4240-A421-1AEF0D3C3EFD}"/>
    <cellStyle name="Comma 4 2 2 3 9 4" xfId="11262" xr:uid="{11856C58-E88F-4D07-82EF-08C441D4BEEA}"/>
    <cellStyle name="Comma 4 2 2 4" xfId="134" xr:uid="{00000000-0005-0000-0000-00002A080000}"/>
    <cellStyle name="Comma 4 2 2 4 10" xfId="17323" xr:uid="{580288B7-0DE5-4924-854F-8AF11E6CF015}"/>
    <cellStyle name="Comma 4 2 2 4 11" xfId="8844" xr:uid="{2DEAB647-406A-46F2-B9ED-71C841B4A53E}"/>
    <cellStyle name="Comma 4 2 2 4 2" xfId="672" xr:uid="{00000000-0005-0000-0000-00002B080000}"/>
    <cellStyle name="Comma 4 2 2 4 2 2" xfId="2943" xr:uid="{00000000-0005-0000-0000-00002C080000}"/>
    <cellStyle name="Comma 4 2 2 4 2 2 2" xfId="7165" xr:uid="{00000000-0005-0000-0000-00002D080000}"/>
    <cellStyle name="Comma 4 2 2 4 2 2 2 2" xfId="24100" xr:uid="{29F196EA-E49E-442D-9812-8901904E9305}"/>
    <cellStyle name="Comma 4 2 2 4 2 2 2 3" xfId="15659" xr:uid="{9F6FAF1E-A7A3-4A53-9E95-80454D4716C6}"/>
    <cellStyle name="Comma 4 2 2 4 2 2 3" xfId="19882" xr:uid="{794E819B-684D-469C-9314-74CDDF1FB00A}"/>
    <cellStyle name="Comma 4 2 2 4 2 2 4" xfId="11440" xr:uid="{AE7F4CF6-2BEF-4FF5-8949-240D3EDAE96E}"/>
    <cellStyle name="Comma 4 2 2 4 2 3" xfId="5020" xr:uid="{00000000-0005-0000-0000-00002E080000}"/>
    <cellStyle name="Comma 4 2 2 4 2 3 2" xfId="21955" xr:uid="{C21E10C4-02F1-40B0-80FA-78FFA3C0C693}"/>
    <cellStyle name="Comma 4 2 2 4 2 3 3" xfId="13514" xr:uid="{2415408A-EF6D-4762-91EA-E9026D9AD968}"/>
    <cellStyle name="Comma 4 2 2 4 2 4" xfId="17737" xr:uid="{424AC17A-E676-456F-988A-24E65C77FEDB}"/>
    <cellStyle name="Comma 4 2 2 4 2 5" xfId="9262" xr:uid="{845214F8-ED79-4A5A-B918-023781531D6D}"/>
    <cellStyle name="Comma 4 2 2 4 3" xfId="1125" xr:uid="{00000000-0005-0000-0000-00002F080000}"/>
    <cellStyle name="Comma 4 2 2 4 3 2" xfId="3356" xr:uid="{00000000-0005-0000-0000-000030080000}"/>
    <cellStyle name="Comma 4 2 2 4 3 2 2" xfId="7578" xr:uid="{00000000-0005-0000-0000-000031080000}"/>
    <cellStyle name="Comma 4 2 2 4 3 2 2 2" xfId="24513" xr:uid="{DDC3517E-A2BF-4778-A658-7C9939540C0E}"/>
    <cellStyle name="Comma 4 2 2 4 3 2 2 3" xfId="16072" xr:uid="{D546E61C-920C-470D-805A-D2CA5E8E4E29}"/>
    <cellStyle name="Comma 4 2 2 4 3 2 3" xfId="20295" xr:uid="{4D3ADD71-9B8E-4FA5-BFE5-3B78E4C56DCD}"/>
    <cellStyle name="Comma 4 2 2 4 3 2 4" xfId="11853" xr:uid="{ACAB3391-894E-41F6-87CD-D079FF5156D0}"/>
    <cellStyle name="Comma 4 2 2 4 3 3" xfId="5433" xr:uid="{00000000-0005-0000-0000-000032080000}"/>
    <cellStyle name="Comma 4 2 2 4 3 3 2" xfId="22368" xr:uid="{EF0BCA39-EC68-42A4-8C6F-813EDDCB55D4}"/>
    <cellStyle name="Comma 4 2 2 4 3 3 3" xfId="13927" xr:uid="{1F70156D-C257-4D9B-82C4-B662389B01CD}"/>
    <cellStyle name="Comma 4 2 2 4 3 4" xfId="18150" xr:uid="{50105C7E-CBB3-49B4-A256-5C6A5804E2BB}"/>
    <cellStyle name="Comma 4 2 2 4 3 5" xfId="9676" xr:uid="{810385F9-B357-46FB-8647-620219F076DD}"/>
    <cellStyle name="Comma 4 2 2 4 4" xfId="1539" xr:uid="{00000000-0005-0000-0000-000033080000}"/>
    <cellStyle name="Comma 4 2 2 4 4 2" xfId="3769" xr:uid="{00000000-0005-0000-0000-000034080000}"/>
    <cellStyle name="Comma 4 2 2 4 4 2 2" xfId="7991" xr:uid="{00000000-0005-0000-0000-000035080000}"/>
    <cellStyle name="Comma 4 2 2 4 4 2 2 2" xfId="24926" xr:uid="{F8D32FC0-2EE2-4436-9293-E71313024C8F}"/>
    <cellStyle name="Comma 4 2 2 4 4 2 2 3" xfId="16485" xr:uid="{03BC86B0-BA1E-4BE8-89C9-F7855E3BA19E}"/>
    <cellStyle name="Comma 4 2 2 4 4 2 3" xfId="20708" xr:uid="{5B13DDA4-894B-4A8F-8985-3423ECF36C81}"/>
    <cellStyle name="Comma 4 2 2 4 4 2 4" xfId="12266" xr:uid="{3DB2CF9A-9A19-487B-B1AE-AACB1BAC7EE0}"/>
    <cellStyle name="Comma 4 2 2 4 4 3" xfId="5846" xr:uid="{00000000-0005-0000-0000-000036080000}"/>
    <cellStyle name="Comma 4 2 2 4 4 3 2" xfId="22781" xr:uid="{642D839A-E3C6-4318-BA92-522DD7FFE0D8}"/>
    <cellStyle name="Comma 4 2 2 4 4 3 3" xfId="14340" xr:uid="{EE902E40-D312-46EE-8590-AC7D866D6712}"/>
    <cellStyle name="Comma 4 2 2 4 4 4" xfId="18563" xr:uid="{A66BD364-22FA-45E6-86B1-FD79F62C2952}"/>
    <cellStyle name="Comma 4 2 2 4 4 5" xfId="10089" xr:uid="{3BAC22F4-F68A-4607-89AA-9C72EF186AC8}"/>
    <cellStyle name="Comma 4 2 2 4 5" xfId="1953" xr:uid="{00000000-0005-0000-0000-000037080000}"/>
    <cellStyle name="Comma 4 2 2 4 5 2" xfId="4182" xr:uid="{00000000-0005-0000-0000-000038080000}"/>
    <cellStyle name="Comma 4 2 2 4 5 2 2" xfId="8404" xr:uid="{00000000-0005-0000-0000-000039080000}"/>
    <cellStyle name="Comma 4 2 2 4 5 2 2 2" xfId="25339" xr:uid="{CAEC0923-C155-4407-B44A-E0844DCA7DEB}"/>
    <cellStyle name="Comma 4 2 2 4 5 2 2 3" xfId="16898" xr:uid="{2251DFE2-5491-45FC-93F2-90DBF983B68C}"/>
    <cellStyle name="Comma 4 2 2 4 5 2 3" xfId="21121" xr:uid="{6589D76C-EBB2-4733-9DFC-DD75777F1FA2}"/>
    <cellStyle name="Comma 4 2 2 4 5 2 4" xfId="12679" xr:uid="{31FAF7AD-1A8A-488E-8808-4BA8B50D8DC0}"/>
    <cellStyle name="Comma 4 2 2 4 5 3" xfId="6259" xr:uid="{00000000-0005-0000-0000-00003A080000}"/>
    <cellStyle name="Comma 4 2 2 4 5 3 2" xfId="23194" xr:uid="{65448F9C-24BB-440F-82E2-5D4E7E7155DE}"/>
    <cellStyle name="Comma 4 2 2 4 5 3 3" xfId="14753" xr:uid="{36A8C6EA-D136-4725-B4EE-F694447A46E6}"/>
    <cellStyle name="Comma 4 2 2 4 5 4" xfId="18976" xr:uid="{4980E40A-1B2F-4BE0-BC9A-991593B23500}"/>
    <cellStyle name="Comma 4 2 2 4 5 5" xfId="10502" xr:uid="{164317B6-3CCC-4964-8C5A-EDD060082887}"/>
    <cellStyle name="Comma 4 2 2 4 6" xfId="2388" xr:uid="{00000000-0005-0000-0000-00003B080000}"/>
    <cellStyle name="Comma 4 2 2 4 6 2" xfId="6672" xr:uid="{00000000-0005-0000-0000-00003C080000}"/>
    <cellStyle name="Comma 4 2 2 4 6 2 2" xfId="23607" xr:uid="{C828306D-FCB5-4E21-A89D-51F531858054}"/>
    <cellStyle name="Comma 4 2 2 4 6 2 3" xfId="15166" xr:uid="{00E27A42-06A6-434F-B87A-0E6CF60D9D29}"/>
    <cellStyle name="Comma 4 2 2 4 6 3" xfId="19389" xr:uid="{6AD0F502-873E-44E7-BBD8-EE198037B2EE}"/>
    <cellStyle name="Comma 4 2 2 4 6 4" xfId="10937" xr:uid="{1417FF8B-ADAA-4D8F-ACF6-4117CCF6674D}"/>
    <cellStyle name="Comma 4 2 2 4 7" xfId="2375" xr:uid="{00000000-0005-0000-0000-00003D080000}"/>
    <cellStyle name="Comma 4 2 2 4 7 2" xfId="10924" xr:uid="{8225CE44-612B-4C91-985C-CED90110337B}"/>
    <cellStyle name="Comma 4 2 2 4 8" xfId="2766" xr:uid="{00000000-0005-0000-0000-00003E080000}"/>
    <cellStyle name="Comma 4 2 2 4 8 2" xfId="6989" xr:uid="{00000000-0005-0000-0000-00003F080000}"/>
    <cellStyle name="Comma 4 2 2 4 8 2 2" xfId="23924" xr:uid="{E2AB46D9-A30D-4C6A-B91B-0D92F25E34C0}"/>
    <cellStyle name="Comma 4 2 2 4 8 2 3" xfId="15483" xr:uid="{9BCEF647-54AB-44FC-99B3-21210E83D027}"/>
    <cellStyle name="Comma 4 2 2 4 8 3" xfId="19706" xr:uid="{7D4C4C05-5994-40FA-887E-4F8B7CE2E862}"/>
    <cellStyle name="Comma 4 2 2 4 8 4" xfId="11264" xr:uid="{0896E0DB-1401-481C-B043-C6A60E137716}"/>
    <cellStyle name="Comma 4 2 2 4 9" xfId="4606" xr:uid="{00000000-0005-0000-0000-000040080000}"/>
    <cellStyle name="Comma 4 2 2 4 9 2" xfId="21541" xr:uid="{6A0C0063-62DD-45B7-8663-A3345C636FAF}"/>
    <cellStyle name="Comma 4 2 2 4 9 3" xfId="13100" xr:uid="{8BF5FD10-7BCF-4135-90C8-5B307EA1762A}"/>
    <cellStyle name="Comma 4 2 2 5" xfId="135" xr:uid="{00000000-0005-0000-0000-000041080000}"/>
    <cellStyle name="Comma 4 2 2 5 10" xfId="17324" xr:uid="{82D967C1-6070-49C9-96B3-9F2A3034490A}"/>
    <cellStyle name="Comma 4 2 2 5 11" xfId="8845" xr:uid="{5F311985-07EA-4DF2-9979-51A356FA3490}"/>
    <cellStyle name="Comma 4 2 2 5 2" xfId="673" xr:uid="{00000000-0005-0000-0000-000042080000}"/>
    <cellStyle name="Comma 4 2 2 5 2 2" xfId="2944" xr:uid="{00000000-0005-0000-0000-000043080000}"/>
    <cellStyle name="Comma 4 2 2 5 2 2 2" xfId="7166" xr:uid="{00000000-0005-0000-0000-000044080000}"/>
    <cellStyle name="Comma 4 2 2 5 2 2 2 2" xfId="24101" xr:uid="{2529AB50-C88A-4F60-8ABD-1592B9996474}"/>
    <cellStyle name="Comma 4 2 2 5 2 2 2 3" xfId="15660" xr:uid="{8F219AB3-63BB-40BE-B0EA-16159AAFBF30}"/>
    <cellStyle name="Comma 4 2 2 5 2 2 3" xfId="19883" xr:uid="{508E4A2C-37A6-439A-8421-6B2BC147A0EF}"/>
    <cellStyle name="Comma 4 2 2 5 2 2 4" xfId="11441" xr:uid="{554ACB8B-99D1-4C3F-9274-3374D8C87F6B}"/>
    <cellStyle name="Comma 4 2 2 5 2 3" xfId="5021" xr:uid="{00000000-0005-0000-0000-000045080000}"/>
    <cellStyle name="Comma 4 2 2 5 2 3 2" xfId="21956" xr:uid="{DD3A0BC3-B997-4BEE-99E8-30DBA1E6B5DB}"/>
    <cellStyle name="Comma 4 2 2 5 2 3 3" xfId="13515" xr:uid="{A74A6510-C121-4483-A807-10A82CB9375C}"/>
    <cellStyle name="Comma 4 2 2 5 2 4" xfId="17738" xr:uid="{DDD3E552-5630-4969-8035-70905D98241F}"/>
    <cellStyle name="Comma 4 2 2 5 2 5" xfId="9263" xr:uid="{6A7A6AA1-0BB7-4005-B445-3F7CD3905C04}"/>
    <cellStyle name="Comma 4 2 2 5 3" xfId="1126" xr:uid="{00000000-0005-0000-0000-000046080000}"/>
    <cellStyle name="Comma 4 2 2 5 3 2" xfId="3357" xr:uid="{00000000-0005-0000-0000-000047080000}"/>
    <cellStyle name="Comma 4 2 2 5 3 2 2" xfId="7579" xr:uid="{00000000-0005-0000-0000-000048080000}"/>
    <cellStyle name="Comma 4 2 2 5 3 2 2 2" xfId="24514" xr:uid="{CD76B5A6-8B19-4597-ABCF-460ECA597DA8}"/>
    <cellStyle name="Comma 4 2 2 5 3 2 2 3" xfId="16073" xr:uid="{BCDCE7E4-C152-4D27-8AAB-43131F912B73}"/>
    <cellStyle name="Comma 4 2 2 5 3 2 3" xfId="20296" xr:uid="{3EDE6FBE-6425-47B4-91AC-636179764C2E}"/>
    <cellStyle name="Comma 4 2 2 5 3 2 4" xfId="11854" xr:uid="{B9941FD7-E2A1-413C-970C-355B2D78E673}"/>
    <cellStyle name="Comma 4 2 2 5 3 3" xfId="5434" xr:uid="{00000000-0005-0000-0000-000049080000}"/>
    <cellStyle name="Comma 4 2 2 5 3 3 2" xfId="22369" xr:uid="{5C3AD3E2-341B-48E2-AC51-76C106AE10E1}"/>
    <cellStyle name="Comma 4 2 2 5 3 3 3" xfId="13928" xr:uid="{0C4DD1BD-B9BD-4C54-9F03-E468B0555D68}"/>
    <cellStyle name="Comma 4 2 2 5 3 4" xfId="18151" xr:uid="{DF553AF6-918E-4347-88BD-9F3219A4087A}"/>
    <cellStyle name="Comma 4 2 2 5 3 5" xfId="9677" xr:uid="{D761BBC0-1D7F-43D8-89C2-29AB7A4C5126}"/>
    <cellStyle name="Comma 4 2 2 5 4" xfId="1540" xr:uid="{00000000-0005-0000-0000-00004A080000}"/>
    <cellStyle name="Comma 4 2 2 5 4 2" xfId="3770" xr:uid="{00000000-0005-0000-0000-00004B080000}"/>
    <cellStyle name="Comma 4 2 2 5 4 2 2" xfId="7992" xr:uid="{00000000-0005-0000-0000-00004C080000}"/>
    <cellStyle name="Comma 4 2 2 5 4 2 2 2" xfId="24927" xr:uid="{689368EC-CE61-4D01-82C4-D79E27797316}"/>
    <cellStyle name="Comma 4 2 2 5 4 2 2 3" xfId="16486" xr:uid="{0CC9F5DD-4A6B-4F5A-B9A9-52143795F292}"/>
    <cellStyle name="Comma 4 2 2 5 4 2 3" xfId="20709" xr:uid="{2C5DAEA7-04C2-410C-9EA4-0B7E307A9CD9}"/>
    <cellStyle name="Comma 4 2 2 5 4 2 4" xfId="12267" xr:uid="{F6857E9F-A40C-4A2F-848D-AA3106A23D58}"/>
    <cellStyle name="Comma 4 2 2 5 4 3" xfId="5847" xr:uid="{00000000-0005-0000-0000-00004D080000}"/>
    <cellStyle name="Comma 4 2 2 5 4 3 2" xfId="22782" xr:uid="{9EC5837F-846C-4F56-B121-0F1FD44C7FA1}"/>
    <cellStyle name="Comma 4 2 2 5 4 3 3" xfId="14341" xr:uid="{4ABBCD84-4DD5-47BB-BCEF-7984C9E02E12}"/>
    <cellStyle name="Comma 4 2 2 5 4 4" xfId="18564" xr:uid="{2C93102F-7A40-4484-B05E-D1DA62411CE8}"/>
    <cellStyle name="Comma 4 2 2 5 4 5" xfId="10090" xr:uid="{126C4DDF-CDFB-4871-9422-840063951DA9}"/>
    <cellStyle name="Comma 4 2 2 5 5" xfId="1954" xr:uid="{00000000-0005-0000-0000-00004E080000}"/>
    <cellStyle name="Comma 4 2 2 5 5 2" xfId="4183" xr:uid="{00000000-0005-0000-0000-00004F080000}"/>
    <cellStyle name="Comma 4 2 2 5 5 2 2" xfId="8405" xr:uid="{00000000-0005-0000-0000-000050080000}"/>
    <cellStyle name="Comma 4 2 2 5 5 2 2 2" xfId="25340" xr:uid="{0BC6C8C5-C63F-458A-8D28-202425C2002C}"/>
    <cellStyle name="Comma 4 2 2 5 5 2 2 3" xfId="16899" xr:uid="{E949370E-F3B3-4532-B049-71713C7C00D6}"/>
    <cellStyle name="Comma 4 2 2 5 5 2 3" xfId="21122" xr:uid="{2ABC73F4-856A-4E53-92E0-60D4D59B7278}"/>
    <cellStyle name="Comma 4 2 2 5 5 2 4" xfId="12680" xr:uid="{9E037C16-167B-4F30-A25A-669A2A31C890}"/>
    <cellStyle name="Comma 4 2 2 5 5 3" xfId="6260" xr:uid="{00000000-0005-0000-0000-000051080000}"/>
    <cellStyle name="Comma 4 2 2 5 5 3 2" xfId="23195" xr:uid="{314F518C-1E3A-4A77-99AF-77AE6F9AA471}"/>
    <cellStyle name="Comma 4 2 2 5 5 3 3" xfId="14754" xr:uid="{72F3F033-D4E1-4FE3-B06F-CFC17F61CB6E}"/>
    <cellStyle name="Comma 4 2 2 5 5 4" xfId="18977" xr:uid="{E4B08273-8261-44E6-8283-05E7D31BC2F1}"/>
    <cellStyle name="Comma 4 2 2 5 5 5" xfId="10503" xr:uid="{C9CCC724-173E-4854-84C2-5B903E88B1BE}"/>
    <cellStyle name="Comma 4 2 2 5 6" xfId="2389" xr:uid="{00000000-0005-0000-0000-000052080000}"/>
    <cellStyle name="Comma 4 2 2 5 6 2" xfId="6673" xr:uid="{00000000-0005-0000-0000-000053080000}"/>
    <cellStyle name="Comma 4 2 2 5 6 2 2" xfId="23608" xr:uid="{F9E98998-692E-403E-B122-9055ADF12F8E}"/>
    <cellStyle name="Comma 4 2 2 5 6 2 3" xfId="15167" xr:uid="{178316CE-B826-4582-B5FE-C94C1C799A7D}"/>
    <cellStyle name="Comma 4 2 2 5 6 3" xfId="19390" xr:uid="{0C996144-1686-42F3-8997-5DE88332D2A3}"/>
    <cellStyle name="Comma 4 2 2 5 6 4" xfId="10938" xr:uid="{BAD67DEA-E8EE-4EA7-9121-DBCF0CCCA61A}"/>
    <cellStyle name="Comma 4 2 2 5 7" xfId="2374" xr:uid="{00000000-0005-0000-0000-000054080000}"/>
    <cellStyle name="Comma 4 2 2 5 7 2" xfId="10923" xr:uid="{EDB9E535-B652-4E09-AF4E-2ECDCE41F33A}"/>
    <cellStyle name="Comma 4 2 2 5 8" xfId="2767" xr:uid="{00000000-0005-0000-0000-000055080000}"/>
    <cellStyle name="Comma 4 2 2 5 8 2" xfId="6990" xr:uid="{00000000-0005-0000-0000-000056080000}"/>
    <cellStyle name="Comma 4 2 2 5 8 2 2" xfId="23925" xr:uid="{60A24657-E64D-4C83-BD7C-7375926C02F5}"/>
    <cellStyle name="Comma 4 2 2 5 8 2 3" xfId="15484" xr:uid="{2038F6C1-2289-46E2-B127-209E9CCE91A6}"/>
    <cellStyle name="Comma 4 2 2 5 8 3" xfId="19707" xr:uid="{91DFAA32-375D-433E-A8CD-0A609E52B0A9}"/>
    <cellStyle name="Comma 4 2 2 5 8 4" xfId="11265" xr:uid="{42DF42E4-8B23-4BB4-B6AD-F2CC97EF273F}"/>
    <cellStyle name="Comma 4 2 2 5 9" xfId="4607" xr:uid="{00000000-0005-0000-0000-000057080000}"/>
    <cellStyle name="Comma 4 2 2 5 9 2" xfId="21542" xr:uid="{87565A2A-7869-4AC1-9C89-61E7B1F4A206}"/>
    <cellStyle name="Comma 4 2 2 5 9 3" xfId="13101" xr:uid="{B2CEB262-02CF-4A4A-A3C9-4ACC1DD6F611}"/>
    <cellStyle name="Comma 4 2 2 6" xfId="8837" xr:uid="{B123924D-9DAC-48F3-ABBF-E812C7D3C9C6}"/>
    <cellStyle name="Comma 4 2 3" xfId="136" xr:uid="{00000000-0005-0000-0000-000058080000}"/>
    <cellStyle name="Comma 4 2 3 10" xfId="2768" xr:uid="{00000000-0005-0000-0000-000059080000}"/>
    <cellStyle name="Comma 4 2 3 10 2" xfId="6991" xr:uid="{00000000-0005-0000-0000-00005A080000}"/>
    <cellStyle name="Comma 4 2 3 10 2 2" xfId="23926" xr:uid="{87B71A3F-8D7F-458C-98E5-726A35FA3816}"/>
    <cellStyle name="Comma 4 2 3 10 2 3" xfId="15485" xr:uid="{3364130D-C388-451C-A851-97EAE9398CCD}"/>
    <cellStyle name="Comma 4 2 3 10 3" xfId="19708" xr:uid="{D4F91428-18E2-45E3-9FD1-8497746C0576}"/>
    <cellStyle name="Comma 4 2 3 10 4" xfId="11266" xr:uid="{28D676AA-43D5-48D8-A288-7839F819DE79}"/>
    <cellStyle name="Comma 4 2 3 11" xfId="4608" xr:uid="{00000000-0005-0000-0000-00005B080000}"/>
    <cellStyle name="Comma 4 2 3 11 2" xfId="21543" xr:uid="{F779FC7D-137A-4C66-93E1-B7194D1508DE}"/>
    <cellStyle name="Comma 4 2 3 11 3" xfId="13102" xr:uid="{99B0F05A-AB4A-42D3-B62C-947979066318}"/>
    <cellStyle name="Comma 4 2 3 12" xfId="17325" xr:uid="{9561BC41-9E75-4FB4-82F6-A982B3016AE2}"/>
    <cellStyle name="Comma 4 2 3 13" xfId="8846" xr:uid="{C989BBD8-30A0-4E24-874F-66D2F66D74B7}"/>
    <cellStyle name="Comma 4 2 3 2" xfId="137" xr:uid="{00000000-0005-0000-0000-00005C080000}"/>
    <cellStyle name="Comma 4 2 3 2 10" xfId="4609" xr:uid="{00000000-0005-0000-0000-00005D080000}"/>
    <cellStyle name="Comma 4 2 3 2 10 2" xfId="21544" xr:uid="{40755485-C3B2-4E75-B137-BC91CE204DF5}"/>
    <cellStyle name="Comma 4 2 3 2 10 3" xfId="13103" xr:uid="{1A4D346E-4C1D-4A7E-A682-AEB6A1B7FF2D}"/>
    <cellStyle name="Comma 4 2 3 2 11" xfId="17326" xr:uid="{BAB882FC-3440-4982-9A41-F03D4EE871A5}"/>
    <cellStyle name="Comma 4 2 3 2 12" xfId="8847" xr:uid="{1BB490B1-4A66-43F4-B0C6-7449BB1EADFB}"/>
    <cellStyle name="Comma 4 2 3 2 2" xfId="138" xr:uid="{00000000-0005-0000-0000-00005E080000}"/>
    <cellStyle name="Comma 4 2 3 2 2 10" xfId="17327" xr:uid="{E9C7BB76-63E6-4375-85ED-B32566E7C554}"/>
    <cellStyle name="Comma 4 2 3 2 2 11" xfId="8848" xr:uid="{B8584E88-49AD-4B7F-AD99-F220702C0390}"/>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104" xr:uid="{13D2C370-FF38-40B2-9FC6-DDE0A32C8EC4}"/>
    <cellStyle name="Comma 4 2 3 2 2 2 2 2 3" xfId="15663" xr:uid="{54FAC8D8-3B98-4122-A2C0-AAD11381380C}"/>
    <cellStyle name="Comma 4 2 3 2 2 2 2 3" xfId="19886" xr:uid="{45A94C76-6F23-4CA5-9CFD-11D0EAE73492}"/>
    <cellStyle name="Comma 4 2 3 2 2 2 2 4" xfId="11444" xr:uid="{7C5F3DEA-50A4-49E7-9713-BE02785FCEBF}"/>
    <cellStyle name="Comma 4 2 3 2 2 2 3" xfId="5024" xr:uid="{00000000-0005-0000-0000-000062080000}"/>
    <cellStyle name="Comma 4 2 3 2 2 2 3 2" xfId="21959" xr:uid="{EE6810AE-F8B3-413E-B446-F504D9F1638E}"/>
    <cellStyle name="Comma 4 2 3 2 2 2 3 3" xfId="13518" xr:uid="{73A350EE-98BD-4731-995E-F31DAA912A82}"/>
    <cellStyle name="Comma 4 2 3 2 2 2 4" xfId="17741" xr:uid="{025C61E9-0080-4870-98BF-B8E83A1F1574}"/>
    <cellStyle name="Comma 4 2 3 2 2 2 5" xfId="9266" xr:uid="{1C08E099-289D-4977-B4ED-A83F8BCC2FC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4517" xr:uid="{99642C73-99D7-4B9D-9CE1-B50B26258BA7}"/>
    <cellStyle name="Comma 4 2 3 2 2 3 2 2 3" xfId="16076" xr:uid="{36C9C936-ABFF-46F5-8912-CC4030AFF471}"/>
    <cellStyle name="Comma 4 2 3 2 2 3 2 3" xfId="20299" xr:uid="{E6B59BE2-09A5-4019-BE44-ECF5CB6949A5}"/>
    <cellStyle name="Comma 4 2 3 2 2 3 2 4" xfId="11857" xr:uid="{B6A1DA24-9948-47DE-9312-1FE54D0B59D8}"/>
    <cellStyle name="Comma 4 2 3 2 2 3 3" xfId="5437" xr:uid="{00000000-0005-0000-0000-000066080000}"/>
    <cellStyle name="Comma 4 2 3 2 2 3 3 2" xfId="22372" xr:uid="{45E1DEEF-07DA-4288-8420-5A8B788B1558}"/>
    <cellStyle name="Comma 4 2 3 2 2 3 3 3" xfId="13931" xr:uid="{728E7448-517B-4379-B14E-852BC5740821}"/>
    <cellStyle name="Comma 4 2 3 2 2 3 4" xfId="18154" xr:uid="{457A9E0B-00B8-46C3-B332-6919EA1DC495}"/>
    <cellStyle name="Comma 4 2 3 2 2 3 5" xfId="9680" xr:uid="{BA163DF0-CEC2-4C26-86D3-69778387E253}"/>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4930" xr:uid="{AE728C8D-BE88-4BB4-BE97-1AE0371AD904}"/>
    <cellStyle name="Comma 4 2 3 2 2 4 2 2 3" xfId="16489" xr:uid="{B3925FDB-CA2E-43B8-871C-6160E2FB4569}"/>
    <cellStyle name="Comma 4 2 3 2 2 4 2 3" xfId="20712" xr:uid="{A642C709-7BA5-4F7F-AA2C-5CB69E7C5790}"/>
    <cellStyle name="Comma 4 2 3 2 2 4 2 4" xfId="12270" xr:uid="{45FB0D4A-2D35-469A-899C-900BDEBF995C}"/>
    <cellStyle name="Comma 4 2 3 2 2 4 3" xfId="5850" xr:uid="{00000000-0005-0000-0000-00006A080000}"/>
    <cellStyle name="Comma 4 2 3 2 2 4 3 2" xfId="22785" xr:uid="{2AE9AD21-CA6B-485F-86FB-BE795396B192}"/>
    <cellStyle name="Comma 4 2 3 2 2 4 3 3" xfId="14344" xr:uid="{8D2E61D6-5947-43CE-856B-218471C2416B}"/>
    <cellStyle name="Comma 4 2 3 2 2 4 4" xfId="18567" xr:uid="{526B08AA-D58D-49E2-B691-AD5A922640FE}"/>
    <cellStyle name="Comma 4 2 3 2 2 4 5" xfId="10093" xr:uid="{E2BEB987-1495-46E9-A880-DFE31A40F837}"/>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5343" xr:uid="{DBD62F4E-F431-4151-9B26-4812CCD9CB65}"/>
    <cellStyle name="Comma 4 2 3 2 2 5 2 2 3" xfId="16902" xr:uid="{995277D5-8997-43B7-9E15-F143DDDDA9C4}"/>
    <cellStyle name="Comma 4 2 3 2 2 5 2 3" xfId="21125" xr:uid="{7C5517A3-9065-413D-94BA-3339B898E703}"/>
    <cellStyle name="Comma 4 2 3 2 2 5 2 4" xfId="12683" xr:uid="{E7723BF7-C335-46E7-85DD-30D346A94B19}"/>
    <cellStyle name="Comma 4 2 3 2 2 5 3" xfId="6263" xr:uid="{00000000-0005-0000-0000-00006E080000}"/>
    <cellStyle name="Comma 4 2 3 2 2 5 3 2" xfId="23198" xr:uid="{073D37FD-0D56-4E98-B53F-28AA563681A6}"/>
    <cellStyle name="Comma 4 2 3 2 2 5 3 3" xfId="14757" xr:uid="{83B70BBB-DC62-4163-976C-1960A2049B49}"/>
    <cellStyle name="Comma 4 2 3 2 2 5 4" xfId="18980" xr:uid="{4E1B4A52-72EF-47A5-ACBF-AC8C527BE202}"/>
    <cellStyle name="Comma 4 2 3 2 2 5 5" xfId="10506" xr:uid="{D1276B98-3606-457E-968F-76F6C4839E8C}"/>
    <cellStyle name="Comma 4 2 3 2 2 6" xfId="2392" xr:uid="{00000000-0005-0000-0000-00006F080000}"/>
    <cellStyle name="Comma 4 2 3 2 2 6 2" xfId="6676" xr:uid="{00000000-0005-0000-0000-000070080000}"/>
    <cellStyle name="Comma 4 2 3 2 2 6 2 2" xfId="23611" xr:uid="{57728198-557C-4559-A67F-D02432CF7B1F}"/>
    <cellStyle name="Comma 4 2 3 2 2 6 2 3" xfId="15170" xr:uid="{73AE2628-6A54-4EC6-9058-5972C264279D}"/>
    <cellStyle name="Comma 4 2 3 2 2 6 3" xfId="19393" xr:uid="{341EF5EB-F96E-4776-B89C-DDF712E00CFB}"/>
    <cellStyle name="Comma 4 2 3 2 2 6 4" xfId="10941" xr:uid="{65A916DF-E2DA-47B8-99AD-DEC54EA0F13A}"/>
    <cellStyle name="Comma 4 2 3 2 2 7" xfId="2371" xr:uid="{00000000-0005-0000-0000-000071080000}"/>
    <cellStyle name="Comma 4 2 3 2 2 7 2" xfId="10920" xr:uid="{53345703-9FE2-43A3-A6CB-7F89517FF2B1}"/>
    <cellStyle name="Comma 4 2 3 2 2 8" xfId="2770" xr:uid="{00000000-0005-0000-0000-000072080000}"/>
    <cellStyle name="Comma 4 2 3 2 2 8 2" xfId="6993" xr:uid="{00000000-0005-0000-0000-000073080000}"/>
    <cellStyle name="Comma 4 2 3 2 2 8 2 2" xfId="23928" xr:uid="{5F95736A-D605-4F34-9B9D-6247AFF083F5}"/>
    <cellStyle name="Comma 4 2 3 2 2 8 2 3" xfId="15487" xr:uid="{345D4BC5-7EA9-4DB6-AFA2-A2680F0694F6}"/>
    <cellStyle name="Comma 4 2 3 2 2 8 3" xfId="19710" xr:uid="{2ECCF5B7-5C78-4C7A-8393-6536CC278DD6}"/>
    <cellStyle name="Comma 4 2 3 2 2 8 4" xfId="11268" xr:uid="{CE5DCE37-4C64-41AB-BB8B-E432D0B7C18E}"/>
    <cellStyle name="Comma 4 2 3 2 2 9" xfId="4610" xr:uid="{00000000-0005-0000-0000-000074080000}"/>
    <cellStyle name="Comma 4 2 3 2 2 9 2" xfId="21545" xr:uid="{C58DF097-4508-4813-B93A-D907FF7B173C}"/>
    <cellStyle name="Comma 4 2 3 2 2 9 3" xfId="13104" xr:uid="{EE19A5A1-92E2-4727-A254-3A3FD5CB0F32}"/>
    <cellStyle name="Comma 4 2 3 2 3" xfId="675" xr:uid="{00000000-0005-0000-0000-000075080000}"/>
    <cellStyle name="Comma 4 2 3 2 3 2" xfId="2946" xr:uid="{00000000-0005-0000-0000-000076080000}"/>
    <cellStyle name="Comma 4 2 3 2 3 2 2" xfId="7168" xr:uid="{00000000-0005-0000-0000-000077080000}"/>
    <cellStyle name="Comma 4 2 3 2 3 2 2 2" xfId="24103" xr:uid="{DACF5E2F-8887-46FC-8E4B-39B070427CFB}"/>
    <cellStyle name="Comma 4 2 3 2 3 2 2 3" xfId="15662" xr:uid="{A6316DF5-5F2F-4AB5-83DE-FFC2DF254482}"/>
    <cellStyle name="Comma 4 2 3 2 3 2 3" xfId="19885" xr:uid="{54DC82AD-4B6B-4C91-8DCE-F7AF8ED32F9F}"/>
    <cellStyle name="Comma 4 2 3 2 3 2 4" xfId="11443" xr:uid="{9DCF2738-DA49-4A94-A757-D4F5F3F580DE}"/>
    <cellStyle name="Comma 4 2 3 2 3 3" xfId="5023" xr:uid="{00000000-0005-0000-0000-000078080000}"/>
    <cellStyle name="Comma 4 2 3 2 3 3 2" xfId="21958" xr:uid="{7520FE03-AD1F-4E12-BEE9-076A19685CD5}"/>
    <cellStyle name="Comma 4 2 3 2 3 3 3" xfId="13517" xr:uid="{D35103B1-57B7-4734-B68F-CCA892E27839}"/>
    <cellStyle name="Comma 4 2 3 2 3 4" xfId="17740" xr:uid="{63E3EA50-381B-47B1-97E8-D3EB46E2E557}"/>
    <cellStyle name="Comma 4 2 3 2 3 5" xfId="9265" xr:uid="{A96D3526-BD26-49E1-8AB7-490FB5F12A4B}"/>
    <cellStyle name="Comma 4 2 3 2 4" xfId="1128" xr:uid="{00000000-0005-0000-0000-000079080000}"/>
    <cellStyle name="Comma 4 2 3 2 4 2" xfId="3359" xr:uid="{00000000-0005-0000-0000-00007A080000}"/>
    <cellStyle name="Comma 4 2 3 2 4 2 2" xfId="7581" xr:uid="{00000000-0005-0000-0000-00007B080000}"/>
    <cellStyle name="Comma 4 2 3 2 4 2 2 2" xfId="24516" xr:uid="{DB828618-2524-4A48-B99E-895BD3B9880C}"/>
    <cellStyle name="Comma 4 2 3 2 4 2 2 3" xfId="16075" xr:uid="{A6423A68-A914-4054-B49B-D3CB294C9B93}"/>
    <cellStyle name="Comma 4 2 3 2 4 2 3" xfId="20298" xr:uid="{346C95DC-5CAD-43AC-B0E9-0154857A69F8}"/>
    <cellStyle name="Comma 4 2 3 2 4 2 4" xfId="11856" xr:uid="{F035FA52-3190-4CBD-8770-CB4DBE8E4D44}"/>
    <cellStyle name="Comma 4 2 3 2 4 3" xfId="5436" xr:uid="{00000000-0005-0000-0000-00007C080000}"/>
    <cellStyle name="Comma 4 2 3 2 4 3 2" xfId="22371" xr:uid="{E40E5907-9CCD-4208-9B19-4F26F638E25F}"/>
    <cellStyle name="Comma 4 2 3 2 4 3 3" xfId="13930" xr:uid="{0CDBDAF3-656D-4D90-B63D-29987B4BCF2B}"/>
    <cellStyle name="Comma 4 2 3 2 4 4" xfId="18153" xr:uid="{0A948F34-B43E-4CB1-B3E7-003031A31CE1}"/>
    <cellStyle name="Comma 4 2 3 2 4 5" xfId="9679" xr:uid="{0B6D3766-13E6-431B-AD3A-BA8172F0F5BE}"/>
    <cellStyle name="Comma 4 2 3 2 5" xfId="1542" xr:uid="{00000000-0005-0000-0000-00007D080000}"/>
    <cellStyle name="Comma 4 2 3 2 5 2" xfId="3772" xr:uid="{00000000-0005-0000-0000-00007E080000}"/>
    <cellStyle name="Comma 4 2 3 2 5 2 2" xfId="7994" xr:uid="{00000000-0005-0000-0000-00007F080000}"/>
    <cellStyle name="Comma 4 2 3 2 5 2 2 2" xfId="24929" xr:uid="{B51C165D-89AC-4B5D-A9A6-E7F734E8DB21}"/>
    <cellStyle name="Comma 4 2 3 2 5 2 2 3" xfId="16488" xr:uid="{CFCF163D-CD52-4500-9382-85BABFC5A0C5}"/>
    <cellStyle name="Comma 4 2 3 2 5 2 3" xfId="20711" xr:uid="{9FF6F6BB-6F9B-4D1A-A06A-063C24B4F1AE}"/>
    <cellStyle name="Comma 4 2 3 2 5 2 4" xfId="12269" xr:uid="{C3762429-7091-4CDA-90C4-70EE5FFFD8DC}"/>
    <cellStyle name="Comma 4 2 3 2 5 3" xfId="5849" xr:uid="{00000000-0005-0000-0000-000080080000}"/>
    <cellStyle name="Comma 4 2 3 2 5 3 2" xfId="22784" xr:uid="{B0C3F2DE-C6D3-4E9A-9275-EE266082F4A6}"/>
    <cellStyle name="Comma 4 2 3 2 5 3 3" xfId="14343" xr:uid="{F8CE057B-72B0-4319-9505-B560FF7582DB}"/>
    <cellStyle name="Comma 4 2 3 2 5 4" xfId="18566" xr:uid="{A952878D-C4F8-4EBD-BDDC-93F9A9353DDC}"/>
    <cellStyle name="Comma 4 2 3 2 5 5" xfId="10092" xr:uid="{ADF0E161-9409-481E-8627-32CFB538D9E8}"/>
    <cellStyle name="Comma 4 2 3 2 6" xfId="1956" xr:uid="{00000000-0005-0000-0000-000081080000}"/>
    <cellStyle name="Comma 4 2 3 2 6 2" xfId="4185" xr:uid="{00000000-0005-0000-0000-000082080000}"/>
    <cellStyle name="Comma 4 2 3 2 6 2 2" xfId="8407" xr:uid="{00000000-0005-0000-0000-000083080000}"/>
    <cellStyle name="Comma 4 2 3 2 6 2 2 2" xfId="25342" xr:uid="{39859983-1EF0-4C2F-A4A8-8A4DFD2F6CCD}"/>
    <cellStyle name="Comma 4 2 3 2 6 2 2 3" xfId="16901" xr:uid="{4ABDF543-43A4-49B4-A1AA-914B31AFD43D}"/>
    <cellStyle name="Comma 4 2 3 2 6 2 3" xfId="21124" xr:uid="{74D66278-8BD1-4108-828A-67275323AA2A}"/>
    <cellStyle name="Comma 4 2 3 2 6 2 4" xfId="12682" xr:uid="{5C851388-D763-4C04-8FC8-30426F48A891}"/>
    <cellStyle name="Comma 4 2 3 2 6 3" xfId="6262" xr:uid="{00000000-0005-0000-0000-000084080000}"/>
    <cellStyle name="Comma 4 2 3 2 6 3 2" xfId="23197" xr:uid="{54C6EE63-20D4-4BEB-8935-87F8ECEBAF03}"/>
    <cellStyle name="Comma 4 2 3 2 6 3 3" xfId="14756" xr:uid="{51E25106-4BCA-402B-8586-DE071946682B}"/>
    <cellStyle name="Comma 4 2 3 2 6 4" xfId="18979" xr:uid="{466AC896-212D-4225-B3C5-662BABA7ED8E}"/>
    <cellStyle name="Comma 4 2 3 2 6 5" xfId="10505" xr:uid="{77D7B4FE-FDD4-4559-8A55-6B3AA1FDDC6A}"/>
    <cellStyle name="Comma 4 2 3 2 7" xfId="2391" xr:uid="{00000000-0005-0000-0000-000085080000}"/>
    <cellStyle name="Comma 4 2 3 2 7 2" xfId="6675" xr:uid="{00000000-0005-0000-0000-000086080000}"/>
    <cellStyle name="Comma 4 2 3 2 7 2 2" xfId="23610" xr:uid="{BDC12897-E1C6-4DAD-8DD3-FB6E33B866C7}"/>
    <cellStyle name="Comma 4 2 3 2 7 2 3" xfId="15169" xr:uid="{2A5397FC-D665-4C57-A51D-D1F1FA510578}"/>
    <cellStyle name="Comma 4 2 3 2 7 3" xfId="19392" xr:uid="{EBB65104-CF4A-402B-AF56-14A1D6350701}"/>
    <cellStyle name="Comma 4 2 3 2 7 4" xfId="10940" xr:uid="{937436AE-646E-4634-924E-5221FE95B615}"/>
    <cellStyle name="Comma 4 2 3 2 8" xfId="2372" xr:uid="{00000000-0005-0000-0000-000087080000}"/>
    <cellStyle name="Comma 4 2 3 2 8 2" xfId="10921" xr:uid="{7A49BF27-88AC-495A-9B1A-F3D25DB20947}"/>
    <cellStyle name="Comma 4 2 3 2 9" xfId="2769" xr:uid="{00000000-0005-0000-0000-000088080000}"/>
    <cellStyle name="Comma 4 2 3 2 9 2" xfId="6992" xr:uid="{00000000-0005-0000-0000-000089080000}"/>
    <cellStyle name="Comma 4 2 3 2 9 2 2" xfId="23927" xr:uid="{1C35C172-AA43-4DC0-A645-97766677A469}"/>
    <cellStyle name="Comma 4 2 3 2 9 2 3" xfId="15486" xr:uid="{D6666BBE-0725-4B9A-A345-0347288291D9}"/>
    <cellStyle name="Comma 4 2 3 2 9 3" xfId="19709" xr:uid="{2B281A85-42A1-4F27-B753-EF26E28D9708}"/>
    <cellStyle name="Comma 4 2 3 2 9 4" xfId="11267" xr:uid="{880F9E2A-D962-42F3-884B-FE38B02BA622}"/>
    <cellStyle name="Comma 4 2 3 3" xfId="139" xr:uid="{00000000-0005-0000-0000-00008A080000}"/>
    <cellStyle name="Comma 4 2 3 3 10" xfId="17328" xr:uid="{8A875A4E-16A5-4BA9-B288-8B684DD2E798}"/>
    <cellStyle name="Comma 4 2 3 3 11" xfId="8849" xr:uid="{4FFD53FF-FF12-4B79-8F63-A389CDCDC85C}"/>
    <cellStyle name="Comma 4 2 3 3 2" xfId="677" xr:uid="{00000000-0005-0000-0000-00008B080000}"/>
    <cellStyle name="Comma 4 2 3 3 2 2" xfId="2948" xr:uid="{00000000-0005-0000-0000-00008C080000}"/>
    <cellStyle name="Comma 4 2 3 3 2 2 2" xfId="7170" xr:uid="{00000000-0005-0000-0000-00008D080000}"/>
    <cellStyle name="Comma 4 2 3 3 2 2 2 2" xfId="24105" xr:uid="{06A23427-4142-4858-BD65-F51455DA5650}"/>
    <cellStyle name="Comma 4 2 3 3 2 2 2 3" xfId="15664" xr:uid="{1EE5F021-F5A8-4467-BF55-C5B6104EEC4F}"/>
    <cellStyle name="Comma 4 2 3 3 2 2 3" xfId="19887" xr:uid="{B27789E1-5EC6-4AAA-89A3-A02AFFFFC19E}"/>
    <cellStyle name="Comma 4 2 3 3 2 2 4" xfId="11445" xr:uid="{71F46A04-11A6-4C5C-93D0-4314F144C473}"/>
    <cellStyle name="Comma 4 2 3 3 2 3" xfId="5025" xr:uid="{00000000-0005-0000-0000-00008E080000}"/>
    <cellStyle name="Comma 4 2 3 3 2 3 2" xfId="21960" xr:uid="{6E429453-5B2F-45DC-913D-8F21A2F868A2}"/>
    <cellStyle name="Comma 4 2 3 3 2 3 3" xfId="13519" xr:uid="{92507949-F702-407B-9C87-475B63CF0A98}"/>
    <cellStyle name="Comma 4 2 3 3 2 4" xfId="17742" xr:uid="{42C14D22-B4D8-483C-A55B-D434B166A5AB}"/>
    <cellStyle name="Comma 4 2 3 3 2 5" xfId="9267" xr:uid="{C8961096-E527-41E5-98FB-5FABF604CAA5}"/>
    <cellStyle name="Comma 4 2 3 3 3" xfId="1130" xr:uid="{00000000-0005-0000-0000-00008F080000}"/>
    <cellStyle name="Comma 4 2 3 3 3 2" xfId="3361" xr:uid="{00000000-0005-0000-0000-000090080000}"/>
    <cellStyle name="Comma 4 2 3 3 3 2 2" xfId="7583" xr:uid="{00000000-0005-0000-0000-000091080000}"/>
    <cellStyle name="Comma 4 2 3 3 3 2 2 2" xfId="24518" xr:uid="{5BA7D7E9-BA27-43A9-B215-6FDF4998188B}"/>
    <cellStyle name="Comma 4 2 3 3 3 2 2 3" xfId="16077" xr:uid="{AF323354-CE4A-49DC-B126-2D1AC02543B8}"/>
    <cellStyle name="Comma 4 2 3 3 3 2 3" xfId="20300" xr:uid="{4BB18F33-96B6-492C-87E0-F1A1221B7DB5}"/>
    <cellStyle name="Comma 4 2 3 3 3 2 4" xfId="11858" xr:uid="{BF35A113-A2EF-42BB-AC54-E39C88059C3A}"/>
    <cellStyle name="Comma 4 2 3 3 3 3" xfId="5438" xr:uid="{00000000-0005-0000-0000-000092080000}"/>
    <cellStyle name="Comma 4 2 3 3 3 3 2" xfId="22373" xr:uid="{34E04B8F-A441-4C86-ABC0-D86111844A51}"/>
    <cellStyle name="Comma 4 2 3 3 3 3 3" xfId="13932" xr:uid="{9F4BCE9B-2129-4605-BACE-7EB3BF5CFD2E}"/>
    <cellStyle name="Comma 4 2 3 3 3 4" xfId="18155" xr:uid="{4DCAFD1D-C239-4723-B5C3-5692AA961EFB}"/>
    <cellStyle name="Comma 4 2 3 3 3 5" xfId="9681" xr:uid="{38675509-D188-4780-9665-9541C9A9D08F}"/>
    <cellStyle name="Comma 4 2 3 3 4" xfId="1544" xr:uid="{00000000-0005-0000-0000-000093080000}"/>
    <cellStyle name="Comma 4 2 3 3 4 2" xfId="3774" xr:uid="{00000000-0005-0000-0000-000094080000}"/>
    <cellStyle name="Comma 4 2 3 3 4 2 2" xfId="7996" xr:uid="{00000000-0005-0000-0000-000095080000}"/>
    <cellStyle name="Comma 4 2 3 3 4 2 2 2" xfId="24931" xr:uid="{3EF2D0C9-A789-46BE-940D-BC3C6CEA6DC5}"/>
    <cellStyle name="Comma 4 2 3 3 4 2 2 3" xfId="16490" xr:uid="{8F9D5B04-BBCE-476D-83CF-8D92E42E6A92}"/>
    <cellStyle name="Comma 4 2 3 3 4 2 3" xfId="20713" xr:uid="{27D2E082-59C3-404B-9776-E3230C0680B9}"/>
    <cellStyle name="Comma 4 2 3 3 4 2 4" xfId="12271" xr:uid="{170010F0-C2B0-43EC-A2CC-7126987FD202}"/>
    <cellStyle name="Comma 4 2 3 3 4 3" xfId="5851" xr:uid="{00000000-0005-0000-0000-000096080000}"/>
    <cellStyle name="Comma 4 2 3 3 4 3 2" xfId="22786" xr:uid="{31724656-80E1-4887-A749-CE52B53081C8}"/>
    <cellStyle name="Comma 4 2 3 3 4 3 3" xfId="14345" xr:uid="{7334D36B-E149-40F6-B6DF-63FF9B1CC296}"/>
    <cellStyle name="Comma 4 2 3 3 4 4" xfId="18568" xr:uid="{52D1C394-D369-4D12-8FBD-55694798B3E2}"/>
    <cellStyle name="Comma 4 2 3 3 4 5" xfId="10094" xr:uid="{144A0204-91AB-470A-AF34-8F6EBCC004E3}"/>
    <cellStyle name="Comma 4 2 3 3 5" xfId="1958" xr:uid="{00000000-0005-0000-0000-000097080000}"/>
    <cellStyle name="Comma 4 2 3 3 5 2" xfId="4187" xr:uid="{00000000-0005-0000-0000-000098080000}"/>
    <cellStyle name="Comma 4 2 3 3 5 2 2" xfId="8409" xr:uid="{00000000-0005-0000-0000-000099080000}"/>
    <cellStyle name="Comma 4 2 3 3 5 2 2 2" xfId="25344" xr:uid="{C1A132FA-7D5F-47EE-AC9D-BDBCB51B7B06}"/>
    <cellStyle name="Comma 4 2 3 3 5 2 2 3" xfId="16903" xr:uid="{6ED70515-D90C-41BA-BF04-6C8616C30346}"/>
    <cellStyle name="Comma 4 2 3 3 5 2 3" xfId="21126" xr:uid="{7A4B6CFA-8885-410B-B679-24FA01D53FB6}"/>
    <cellStyle name="Comma 4 2 3 3 5 2 4" xfId="12684" xr:uid="{4D649578-8D6C-49EB-B1D1-DF760245EDF1}"/>
    <cellStyle name="Comma 4 2 3 3 5 3" xfId="6264" xr:uid="{00000000-0005-0000-0000-00009A080000}"/>
    <cellStyle name="Comma 4 2 3 3 5 3 2" xfId="23199" xr:uid="{F31B7CBB-873A-4B24-A7D3-CD88894B8189}"/>
    <cellStyle name="Comma 4 2 3 3 5 3 3" xfId="14758" xr:uid="{B1032667-287D-4DD9-8433-DE977EDA6D5B}"/>
    <cellStyle name="Comma 4 2 3 3 5 4" xfId="18981" xr:uid="{62B96D2F-3F1E-42C6-8B1A-67F6C63FE359}"/>
    <cellStyle name="Comma 4 2 3 3 5 5" xfId="10507" xr:uid="{D45C7CF7-4888-4A25-B0CF-93FC2EC02966}"/>
    <cellStyle name="Comma 4 2 3 3 6" xfId="2393" xr:uid="{00000000-0005-0000-0000-00009B080000}"/>
    <cellStyle name="Comma 4 2 3 3 6 2" xfId="6677" xr:uid="{00000000-0005-0000-0000-00009C080000}"/>
    <cellStyle name="Comma 4 2 3 3 6 2 2" xfId="23612" xr:uid="{189CE180-05F5-46F6-8216-315A19F70631}"/>
    <cellStyle name="Comma 4 2 3 3 6 2 3" xfId="15171" xr:uid="{33B7BE91-FE0B-4B41-BA22-6FC753AF0C83}"/>
    <cellStyle name="Comma 4 2 3 3 6 3" xfId="19394" xr:uid="{6830B49C-B88C-471B-AE40-D39EB21BF555}"/>
    <cellStyle name="Comma 4 2 3 3 6 4" xfId="10942" xr:uid="{04875BB8-B15F-4030-BDD1-20232AF31223}"/>
    <cellStyle name="Comma 4 2 3 3 7" xfId="2370" xr:uid="{00000000-0005-0000-0000-00009D080000}"/>
    <cellStyle name="Comma 4 2 3 3 7 2" xfId="10919" xr:uid="{31CAED9D-A78F-4EEE-96E1-9AEEBFF834AA}"/>
    <cellStyle name="Comma 4 2 3 3 8" xfId="2771" xr:uid="{00000000-0005-0000-0000-00009E080000}"/>
    <cellStyle name="Comma 4 2 3 3 8 2" xfId="6994" xr:uid="{00000000-0005-0000-0000-00009F080000}"/>
    <cellStyle name="Comma 4 2 3 3 8 2 2" xfId="23929" xr:uid="{6E21A272-F6A6-4A01-A65A-22C00401A5A9}"/>
    <cellStyle name="Comma 4 2 3 3 8 2 3" xfId="15488" xr:uid="{A4CF3216-4663-4890-BB82-BF393C28E0D3}"/>
    <cellStyle name="Comma 4 2 3 3 8 3" xfId="19711" xr:uid="{218AFC85-C963-4DFA-8326-240F787CD125}"/>
    <cellStyle name="Comma 4 2 3 3 8 4" xfId="11269" xr:uid="{12DFDC8F-B5C4-4898-B56C-530EFC0F44A1}"/>
    <cellStyle name="Comma 4 2 3 3 9" xfId="4611" xr:uid="{00000000-0005-0000-0000-0000A0080000}"/>
    <cellStyle name="Comma 4 2 3 3 9 2" xfId="21546" xr:uid="{A6B3FA44-759A-4043-B106-9EDF412D1F78}"/>
    <cellStyle name="Comma 4 2 3 3 9 3" xfId="13105" xr:uid="{4ADE7F00-B9A7-4314-B326-78523878576C}"/>
    <cellStyle name="Comma 4 2 3 4" xfId="674" xr:uid="{00000000-0005-0000-0000-0000A1080000}"/>
    <cellStyle name="Comma 4 2 3 4 2" xfId="2945" xr:uid="{00000000-0005-0000-0000-0000A2080000}"/>
    <cellStyle name="Comma 4 2 3 4 2 2" xfId="7167" xr:uid="{00000000-0005-0000-0000-0000A3080000}"/>
    <cellStyle name="Comma 4 2 3 4 2 2 2" xfId="24102" xr:uid="{B5337925-4375-4807-AB3D-C4E7E534A78B}"/>
    <cellStyle name="Comma 4 2 3 4 2 2 3" xfId="15661" xr:uid="{BC7EBA01-9A70-445C-BDB3-F3B0D1C22964}"/>
    <cellStyle name="Comma 4 2 3 4 2 3" xfId="19884" xr:uid="{6255D3A1-46CC-42ED-BDB8-CB4B07C4843C}"/>
    <cellStyle name="Comma 4 2 3 4 2 4" xfId="11442" xr:uid="{2BDA06F2-D4A3-400A-A130-9CC56D448C71}"/>
    <cellStyle name="Comma 4 2 3 4 3" xfId="5022" xr:uid="{00000000-0005-0000-0000-0000A4080000}"/>
    <cellStyle name="Comma 4 2 3 4 3 2" xfId="21957" xr:uid="{837E913D-F79B-4A7F-8346-53AC6CF10184}"/>
    <cellStyle name="Comma 4 2 3 4 3 3" xfId="13516" xr:uid="{D26A13B9-500E-42A9-B78A-36BD6D8A8817}"/>
    <cellStyle name="Comma 4 2 3 4 4" xfId="17739" xr:uid="{9333A714-5A0A-401F-BF02-044EF47699D3}"/>
    <cellStyle name="Comma 4 2 3 4 5" xfId="9264" xr:uid="{BE516EF5-A272-4B6F-84F7-51BE8F27351B}"/>
    <cellStyle name="Comma 4 2 3 5" xfId="1127" xr:uid="{00000000-0005-0000-0000-0000A5080000}"/>
    <cellStyle name="Comma 4 2 3 5 2" xfId="3358" xr:uid="{00000000-0005-0000-0000-0000A6080000}"/>
    <cellStyle name="Comma 4 2 3 5 2 2" xfId="7580" xr:uid="{00000000-0005-0000-0000-0000A7080000}"/>
    <cellStyle name="Comma 4 2 3 5 2 2 2" xfId="24515" xr:uid="{BAC4EA13-37F3-4D2D-8A82-B44E29209AA1}"/>
    <cellStyle name="Comma 4 2 3 5 2 2 3" xfId="16074" xr:uid="{6223F90B-3A90-4A8E-AA56-6397B446FCED}"/>
    <cellStyle name="Comma 4 2 3 5 2 3" xfId="20297" xr:uid="{983BE83D-FE6C-40B8-BDF7-E35CBC39FA00}"/>
    <cellStyle name="Comma 4 2 3 5 2 4" xfId="11855" xr:uid="{46FB2EAF-7A30-429F-B16B-27F1B4F205F8}"/>
    <cellStyle name="Comma 4 2 3 5 3" xfId="5435" xr:uid="{00000000-0005-0000-0000-0000A8080000}"/>
    <cellStyle name="Comma 4 2 3 5 3 2" xfId="22370" xr:uid="{0077D164-E514-400B-891E-EB4CC20103BB}"/>
    <cellStyle name="Comma 4 2 3 5 3 3" xfId="13929" xr:uid="{99FAF2A4-BAB4-4089-A90F-E39512A960B3}"/>
    <cellStyle name="Comma 4 2 3 5 4" xfId="18152" xr:uid="{2D8A2423-285D-40BC-9704-12F3E0930F6A}"/>
    <cellStyle name="Comma 4 2 3 5 5" xfId="9678" xr:uid="{68C63683-10DD-46D0-854E-68802FBA28B1}"/>
    <cellStyle name="Comma 4 2 3 6" xfId="1541" xr:uid="{00000000-0005-0000-0000-0000A9080000}"/>
    <cellStyle name="Comma 4 2 3 6 2" xfId="3771" xr:uid="{00000000-0005-0000-0000-0000AA080000}"/>
    <cellStyle name="Comma 4 2 3 6 2 2" xfId="7993" xr:uid="{00000000-0005-0000-0000-0000AB080000}"/>
    <cellStyle name="Comma 4 2 3 6 2 2 2" xfId="24928" xr:uid="{575E64B9-5DAF-4123-84CF-E43D323CF38C}"/>
    <cellStyle name="Comma 4 2 3 6 2 2 3" xfId="16487" xr:uid="{BC3A16F6-C02C-444F-B279-57391B7608D1}"/>
    <cellStyle name="Comma 4 2 3 6 2 3" xfId="20710" xr:uid="{8C1E912A-F797-43EF-B7D8-45E95790A384}"/>
    <cellStyle name="Comma 4 2 3 6 2 4" xfId="12268" xr:uid="{DDAB31F3-FFC3-4029-9AFB-EB5E129C26F3}"/>
    <cellStyle name="Comma 4 2 3 6 3" xfId="5848" xr:uid="{00000000-0005-0000-0000-0000AC080000}"/>
    <cellStyle name="Comma 4 2 3 6 3 2" xfId="22783" xr:uid="{79F1CD8F-9FC7-4A9D-94BB-D0A5AB72E0FE}"/>
    <cellStyle name="Comma 4 2 3 6 3 3" xfId="14342" xr:uid="{AFDC767A-4829-42BA-B799-E7B7155CB2F7}"/>
    <cellStyle name="Comma 4 2 3 6 4" xfId="18565" xr:uid="{7801CFAA-5337-42AF-B805-655F442EF41F}"/>
    <cellStyle name="Comma 4 2 3 6 5" xfId="10091" xr:uid="{8F9933D2-FC45-4BD1-9EB2-AA97974402B7}"/>
    <cellStyle name="Comma 4 2 3 7" xfId="1955" xr:uid="{00000000-0005-0000-0000-0000AD080000}"/>
    <cellStyle name="Comma 4 2 3 7 2" xfId="4184" xr:uid="{00000000-0005-0000-0000-0000AE080000}"/>
    <cellStyle name="Comma 4 2 3 7 2 2" xfId="8406" xr:uid="{00000000-0005-0000-0000-0000AF080000}"/>
    <cellStyle name="Comma 4 2 3 7 2 2 2" xfId="25341" xr:uid="{9F2A25EC-0B8E-460F-A829-05F1ABDCB4FF}"/>
    <cellStyle name="Comma 4 2 3 7 2 2 3" xfId="16900" xr:uid="{6A897C0F-4D33-430F-8E9E-F01675831760}"/>
    <cellStyle name="Comma 4 2 3 7 2 3" xfId="21123" xr:uid="{A1A6B1A2-F1B3-43A5-9CD4-12F3F30E1FB5}"/>
    <cellStyle name="Comma 4 2 3 7 2 4" xfId="12681" xr:uid="{0568B058-9743-4528-9890-80BB2AA531A2}"/>
    <cellStyle name="Comma 4 2 3 7 3" xfId="6261" xr:uid="{00000000-0005-0000-0000-0000B0080000}"/>
    <cellStyle name="Comma 4 2 3 7 3 2" xfId="23196" xr:uid="{20DCFDEF-1C29-45CB-AB11-0B5F05F2B89E}"/>
    <cellStyle name="Comma 4 2 3 7 3 3" xfId="14755" xr:uid="{FF6825A1-0DEF-4B4B-89D9-9659B78ABB69}"/>
    <cellStyle name="Comma 4 2 3 7 4" xfId="18978" xr:uid="{95E9A097-D877-4738-87B9-EB0ED17B23CD}"/>
    <cellStyle name="Comma 4 2 3 7 5" xfId="10504" xr:uid="{6331D1BA-663E-4C25-B910-612210DE4885}"/>
    <cellStyle name="Comma 4 2 3 8" xfId="2390" xr:uid="{00000000-0005-0000-0000-0000B1080000}"/>
    <cellStyle name="Comma 4 2 3 8 2" xfId="6674" xr:uid="{00000000-0005-0000-0000-0000B2080000}"/>
    <cellStyle name="Comma 4 2 3 8 2 2" xfId="23609" xr:uid="{C275E826-B193-477C-8C00-77B772DBEA7C}"/>
    <cellStyle name="Comma 4 2 3 8 2 3" xfId="15168" xr:uid="{A831BB1E-1886-4866-9EC2-075E610AB8B0}"/>
    <cellStyle name="Comma 4 2 3 8 3" xfId="19391" xr:uid="{8B7340A1-F209-4300-BCE1-6116083DD3A1}"/>
    <cellStyle name="Comma 4 2 3 8 4" xfId="10939" xr:uid="{D5643E9C-0A0F-499D-AA64-F9946B3C4C07}"/>
    <cellStyle name="Comma 4 2 3 9" xfId="2373" xr:uid="{00000000-0005-0000-0000-0000B3080000}"/>
    <cellStyle name="Comma 4 2 3 9 2" xfId="10922" xr:uid="{BD2E2BC1-37CB-4B47-B4A8-EF38FF8504D9}"/>
    <cellStyle name="Comma 4 2 4" xfId="140" xr:uid="{00000000-0005-0000-0000-0000B4080000}"/>
    <cellStyle name="Comma 4 2 4 10" xfId="4612" xr:uid="{00000000-0005-0000-0000-0000B5080000}"/>
    <cellStyle name="Comma 4 2 4 10 2" xfId="21547" xr:uid="{218E8049-9480-447C-A399-27A4B6F0E077}"/>
    <cellStyle name="Comma 4 2 4 10 3" xfId="13106" xr:uid="{9F2F2E80-1C32-47A5-9E0B-09F40087DC2D}"/>
    <cellStyle name="Comma 4 2 4 11" xfId="17329" xr:uid="{E32DA868-6BDD-49FD-8673-3FFD1DF47DD2}"/>
    <cellStyle name="Comma 4 2 4 12" xfId="8850" xr:uid="{58E0F7A0-1E74-4638-BCE1-1C2A5049F232}"/>
    <cellStyle name="Comma 4 2 4 2" xfId="141" xr:uid="{00000000-0005-0000-0000-0000B6080000}"/>
    <cellStyle name="Comma 4 2 4 2 10" xfId="17330" xr:uid="{F35427E9-A342-4DA8-8D37-6848C672A4E4}"/>
    <cellStyle name="Comma 4 2 4 2 11" xfId="8851" xr:uid="{5DA8CCB5-2941-4999-980E-312F6189369D}"/>
    <cellStyle name="Comma 4 2 4 2 2" xfId="679" xr:uid="{00000000-0005-0000-0000-0000B7080000}"/>
    <cellStyle name="Comma 4 2 4 2 2 2" xfId="2950" xr:uid="{00000000-0005-0000-0000-0000B8080000}"/>
    <cellStyle name="Comma 4 2 4 2 2 2 2" xfId="7172" xr:uid="{00000000-0005-0000-0000-0000B9080000}"/>
    <cellStyle name="Comma 4 2 4 2 2 2 2 2" xfId="24107" xr:uid="{E7A3B571-E2AD-46FE-867C-BFC253DE2A63}"/>
    <cellStyle name="Comma 4 2 4 2 2 2 2 3" xfId="15666" xr:uid="{6ACD8B31-65C0-4977-A7E5-9ADB130A9DBF}"/>
    <cellStyle name="Comma 4 2 4 2 2 2 3" xfId="19889" xr:uid="{4F86A847-282B-4817-8022-7B3E4D13B3A5}"/>
    <cellStyle name="Comma 4 2 4 2 2 2 4" xfId="11447" xr:uid="{B6C40627-3A9E-4D34-8495-E71AFF75369E}"/>
    <cellStyle name="Comma 4 2 4 2 2 3" xfId="5027" xr:uid="{00000000-0005-0000-0000-0000BA080000}"/>
    <cellStyle name="Comma 4 2 4 2 2 3 2" xfId="21962" xr:uid="{DD540686-DB86-4050-A0EB-3967E73D578E}"/>
    <cellStyle name="Comma 4 2 4 2 2 3 3" xfId="13521" xr:uid="{5DBE1FF7-EB63-45F6-9FF8-12BE02C0712A}"/>
    <cellStyle name="Comma 4 2 4 2 2 4" xfId="17744" xr:uid="{D00107C7-E2DA-47A5-B9EB-3793BC3229EA}"/>
    <cellStyle name="Comma 4 2 4 2 2 5" xfId="9269" xr:uid="{A9AC1E12-69FC-45F4-97B4-2372EEB4A5E4}"/>
    <cellStyle name="Comma 4 2 4 2 3" xfId="1132" xr:uid="{00000000-0005-0000-0000-0000BB080000}"/>
    <cellStyle name="Comma 4 2 4 2 3 2" xfId="3363" xr:uid="{00000000-0005-0000-0000-0000BC080000}"/>
    <cellStyle name="Comma 4 2 4 2 3 2 2" xfId="7585" xr:uid="{00000000-0005-0000-0000-0000BD080000}"/>
    <cellStyle name="Comma 4 2 4 2 3 2 2 2" xfId="24520" xr:uid="{4056035C-37C6-462D-8A1F-6A68D3E2367E}"/>
    <cellStyle name="Comma 4 2 4 2 3 2 2 3" xfId="16079" xr:uid="{09B9405B-2BBD-4A3F-81BA-FAE3AEB5D67D}"/>
    <cellStyle name="Comma 4 2 4 2 3 2 3" xfId="20302" xr:uid="{2A6B7E25-B500-4748-99AA-5351E5752E5C}"/>
    <cellStyle name="Comma 4 2 4 2 3 2 4" xfId="11860" xr:uid="{04BC92EF-78CA-4000-A25B-9973D47F79F9}"/>
    <cellStyle name="Comma 4 2 4 2 3 3" xfId="5440" xr:uid="{00000000-0005-0000-0000-0000BE080000}"/>
    <cellStyle name="Comma 4 2 4 2 3 3 2" xfId="22375" xr:uid="{CA58943E-19E4-409F-B732-7B20D6278466}"/>
    <cellStyle name="Comma 4 2 4 2 3 3 3" xfId="13934" xr:uid="{301D6C18-D5F1-4DF9-A4B8-5F161B50CF9F}"/>
    <cellStyle name="Comma 4 2 4 2 3 4" xfId="18157" xr:uid="{B5C14FD6-04A1-4A7A-A2BD-7732683C5CD6}"/>
    <cellStyle name="Comma 4 2 4 2 3 5" xfId="9683" xr:uid="{FF73392E-8ECA-421B-BE45-67A7EBDA5071}"/>
    <cellStyle name="Comma 4 2 4 2 4" xfId="1546" xr:uid="{00000000-0005-0000-0000-0000BF080000}"/>
    <cellStyle name="Comma 4 2 4 2 4 2" xfId="3776" xr:uid="{00000000-0005-0000-0000-0000C0080000}"/>
    <cellStyle name="Comma 4 2 4 2 4 2 2" xfId="7998" xr:uid="{00000000-0005-0000-0000-0000C1080000}"/>
    <cellStyle name="Comma 4 2 4 2 4 2 2 2" xfId="24933" xr:uid="{B29EF619-7669-4221-A5A6-9390B43F6601}"/>
    <cellStyle name="Comma 4 2 4 2 4 2 2 3" xfId="16492" xr:uid="{4669DDB4-8B75-49B4-BEE8-1330496379D0}"/>
    <cellStyle name="Comma 4 2 4 2 4 2 3" xfId="20715" xr:uid="{288F20C8-96A0-49F5-830E-5A6045650385}"/>
    <cellStyle name="Comma 4 2 4 2 4 2 4" xfId="12273" xr:uid="{A93B79B1-8ABB-4CD3-AA2B-776409BC105F}"/>
    <cellStyle name="Comma 4 2 4 2 4 3" xfId="5853" xr:uid="{00000000-0005-0000-0000-0000C2080000}"/>
    <cellStyle name="Comma 4 2 4 2 4 3 2" xfId="22788" xr:uid="{7A7108E6-5BE5-4C87-BD77-EEC55A546130}"/>
    <cellStyle name="Comma 4 2 4 2 4 3 3" xfId="14347" xr:uid="{EDE79C85-1068-45AB-8E88-B1CDCB17B0C3}"/>
    <cellStyle name="Comma 4 2 4 2 4 4" xfId="18570" xr:uid="{B9C6D898-C609-41D6-B4A2-002D4159156A}"/>
    <cellStyle name="Comma 4 2 4 2 4 5" xfId="10096" xr:uid="{3FD4F2D8-5DFE-42A9-B4F0-9DC9BBC2F919}"/>
    <cellStyle name="Comma 4 2 4 2 5" xfId="1960" xr:uid="{00000000-0005-0000-0000-0000C3080000}"/>
    <cellStyle name="Comma 4 2 4 2 5 2" xfId="4189" xr:uid="{00000000-0005-0000-0000-0000C4080000}"/>
    <cellStyle name="Comma 4 2 4 2 5 2 2" xfId="8411" xr:uid="{00000000-0005-0000-0000-0000C5080000}"/>
    <cellStyle name="Comma 4 2 4 2 5 2 2 2" xfId="25346" xr:uid="{9885C4A4-5C43-469C-8EFC-43D36370F912}"/>
    <cellStyle name="Comma 4 2 4 2 5 2 2 3" xfId="16905" xr:uid="{C5FB3E33-6E5C-4A29-9A6A-F0FA75CFE495}"/>
    <cellStyle name="Comma 4 2 4 2 5 2 3" xfId="21128" xr:uid="{1AD83473-66D2-4876-9B66-55A252C005BD}"/>
    <cellStyle name="Comma 4 2 4 2 5 2 4" xfId="12686" xr:uid="{93E16E95-4A22-45CF-B952-8EAE838DB93C}"/>
    <cellStyle name="Comma 4 2 4 2 5 3" xfId="6266" xr:uid="{00000000-0005-0000-0000-0000C6080000}"/>
    <cellStyle name="Comma 4 2 4 2 5 3 2" xfId="23201" xr:uid="{E4BB735E-25E1-4045-85F4-F8542C7B8E35}"/>
    <cellStyle name="Comma 4 2 4 2 5 3 3" xfId="14760" xr:uid="{23573085-8CD3-49C7-B69D-489B62D6A8E2}"/>
    <cellStyle name="Comma 4 2 4 2 5 4" xfId="18983" xr:uid="{84F33E64-AA4C-4029-8514-25C3B217CE31}"/>
    <cellStyle name="Comma 4 2 4 2 5 5" xfId="10509" xr:uid="{12622BCE-298E-4D1B-A5C6-8166638E7D15}"/>
    <cellStyle name="Comma 4 2 4 2 6" xfId="2395" xr:uid="{00000000-0005-0000-0000-0000C7080000}"/>
    <cellStyle name="Comma 4 2 4 2 6 2" xfId="6679" xr:uid="{00000000-0005-0000-0000-0000C8080000}"/>
    <cellStyle name="Comma 4 2 4 2 6 2 2" xfId="23614" xr:uid="{AC1CABE7-2C03-417C-BDA8-8F9F06B30B3E}"/>
    <cellStyle name="Comma 4 2 4 2 6 2 3" xfId="15173" xr:uid="{99593665-DDD5-4213-B8DC-1A0CB1E4A57D}"/>
    <cellStyle name="Comma 4 2 4 2 6 3" xfId="19396" xr:uid="{FC784122-8E21-4463-9FAF-AE45DE9646D4}"/>
    <cellStyle name="Comma 4 2 4 2 6 4" xfId="10944" xr:uid="{FBC22C76-912F-4CAE-94AD-F949EC0B2A75}"/>
    <cellStyle name="Comma 4 2 4 2 7" xfId="2368" xr:uid="{00000000-0005-0000-0000-0000C9080000}"/>
    <cellStyle name="Comma 4 2 4 2 7 2" xfId="10917" xr:uid="{35CFA4F1-CB15-40AE-BB90-B728CFEAE7D8}"/>
    <cellStyle name="Comma 4 2 4 2 8" xfId="2773" xr:uid="{00000000-0005-0000-0000-0000CA080000}"/>
    <cellStyle name="Comma 4 2 4 2 8 2" xfId="6996" xr:uid="{00000000-0005-0000-0000-0000CB080000}"/>
    <cellStyle name="Comma 4 2 4 2 8 2 2" xfId="23931" xr:uid="{F5D35C50-3960-446C-9B90-3DDDC38B8CD1}"/>
    <cellStyle name="Comma 4 2 4 2 8 2 3" xfId="15490" xr:uid="{E22DFDA7-3640-4565-9B1B-DA79B10D61A9}"/>
    <cellStyle name="Comma 4 2 4 2 8 3" xfId="19713" xr:uid="{BDA8C2F9-1B3E-447F-9DA1-FF516E0324C5}"/>
    <cellStyle name="Comma 4 2 4 2 8 4" xfId="11271" xr:uid="{926FE897-B4DE-43FA-815A-E9B827F4E1F4}"/>
    <cellStyle name="Comma 4 2 4 2 9" xfId="4613" xr:uid="{00000000-0005-0000-0000-0000CC080000}"/>
    <cellStyle name="Comma 4 2 4 2 9 2" xfId="21548" xr:uid="{C00F75CC-7316-4EFE-87C7-8DE094BA3A46}"/>
    <cellStyle name="Comma 4 2 4 2 9 3" xfId="13107" xr:uid="{B692E037-7964-4587-A6FB-717E1927310A}"/>
    <cellStyle name="Comma 4 2 4 3" xfId="678" xr:uid="{00000000-0005-0000-0000-0000CD080000}"/>
    <cellStyle name="Comma 4 2 4 3 2" xfId="2949" xr:uid="{00000000-0005-0000-0000-0000CE080000}"/>
    <cellStyle name="Comma 4 2 4 3 2 2" xfId="7171" xr:uid="{00000000-0005-0000-0000-0000CF080000}"/>
    <cellStyle name="Comma 4 2 4 3 2 2 2" xfId="24106" xr:uid="{0FA6DC5C-3A0E-4F5B-BA57-F835DE805A08}"/>
    <cellStyle name="Comma 4 2 4 3 2 2 3" xfId="15665" xr:uid="{FB054D03-331F-4BCC-BDCB-AD85BF62D57C}"/>
    <cellStyle name="Comma 4 2 4 3 2 3" xfId="19888" xr:uid="{A7BAD275-A1E2-4216-9170-882DDDD9EC40}"/>
    <cellStyle name="Comma 4 2 4 3 2 4" xfId="11446" xr:uid="{2D23160D-7A8C-42E3-ABFE-C38286215D40}"/>
    <cellStyle name="Comma 4 2 4 3 3" xfId="5026" xr:uid="{00000000-0005-0000-0000-0000D0080000}"/>
    <cellStyle name="Comma 4 2 4 3 3 2" xfId="21961" xr:uid="{CC7E6FA3-A711-4EDB-B0E6-887A7F4EBB8F}"/>
    <cellStyle name="Comma 4 2 4 3 3 3" xfId="13520" xr:uid="{32AE7347-032F-4285-A650-7AFC8984E1A1}"/>
    <cellStyle name="Comma 4 2 4 3 4" xfId="17743" xr:uid="{A9EC7631-0744-4688-A138-8435C8BFF317}"/>
    <cellStyle name="Comma 4 2 4 3 5" xfId="9268" xr:uid="{C7C8BB4F-CA2A-46E5-AC73-98A4E52591BC}"/>
    <cellStyle name="Comma 4 2 4 4" xfId="1131" xr:uid="{00000000-0005-0000-0000-0000D1080000}"/>
    <cellStyle name="Comma 4 2 4 4 2" xfId="3362" xr:uid="{00000000-0005-0000-0000-0000D2080000}"/>
    <cellStyle name="Comma 4 2 4 4 2 2" xfId="7584" xr:uid="{00000000-0005-0000-0000-0000D3080000}"/>
    <cellStyle name="Comma 4 2 4 4 2 2 2" xfId="24519" xr:uid="{5CBD66C9-C92A-4BE5-B366-84C20536CF1F}"/>
    <cellStyle name="Comma 4 2 4 4 2 2 3" xfId="16078" xr:uid="{D1B5A814-C9A0-4767-8A83-19A217D1E4CC}"/>
    <cellStyle name="Comma 4 2 4 4 2 3" xfId="20301" xr:uid="{FA7BF307-E1F0-4000-92D4-640021BFE911}"/>
    <cellStyle name="Comma 4 2 4 4 2 4" xfId="11859" xr:uid="{D43EE82F-38F0-461B-8A03-3123B3C684E8}"/>
    <cellStyle name="Comma 4 2 4 4 3" xfId="5439" xr:uid="{00000000-0005-0000-0000-0000D4080000}"/>
    <cellStyle name="Comma 4 2 4 4 3 2" xfId="22374" xr:uid="{79342497-36F7-4ACA-8DA4-9C5F6D7507BF}"/>
    <cellStyle name="Comma 4 2 4 4 3 3" xfId="13933" xr:uid="{CB46624C-64E6-4602-8EF9-55ED954981FB}"/>
    <cellStyle name="Comma 4 2 4 4 4" xfId="18156" xr:uid="{1B116F26-CD4A-4BEF-8843-46A9CFDE5C50}"/>
    <cellStyle name="Comma 4 2 4 4 5" xfId="9682" xr:uid="{472A09E6-CA7D-4DB5-BCA8-6424C1948F7D}"/>
    <cellStyle name="Comma 4 2 4 5" xfId="1545" xr:uid="{00000000-0005-0000-0000-0000D5080000}"/>
    <cellStyle name="Comma 4 2 4 5 2" xfId="3775" xr:uid="{00000000-0005-0000-0000-0000D6080000}"/>
    <cellStyle name="Comma 4 2 4 5 2 2" xfId="7997" xr:uid="{00000000-0005-0000-0000-0000D7080000}"/>
    <cellStyle name="Comma 4 2 4 5 2 2 2" xfId="24932" xr:uid="{AE9361C0-EDE6-4C74-8070-C38B45D9D184}"/>
    <cellStyle name="Comma 4 2 4 5 2 2 3" xfId="16491" xr:uid="{8E8224DA-409C-44FF-96AE-D1E90D77E4E8}"/>
    <cellStyle name="Comma 4 2 4 5 2 3" xfId="20714" xr:uid="{601E1567-71ED-4A7D-B05B-CFDAE5E0B334}"/>
    <cellStyle name="Comma 4 2 4 5 2 4" xfId="12272" xr:uid="{B11DC8BF-4C3D-4500-BDC0-AE88349336FE}"/>
    <cellStyle name="Comma 4 2 4 5 3" xfId="5852" xr:uid="{00000000-0005-0000-0000-0000D8080000}"/>
    <cellStyle name="Comma 4 2 4 5 3 2" xfId="22787" xr:uid="{164BC51C-F627-4167-A552-10A3BCB00C79}"/>
    <cellStyle name="Comma 4 2 4 5 3 3" xfId="14346" xr:uid="{2569E227-489D-43B1-8DE7-F521BCD8F8D3}"/>
    <cellStyle name="Comma 4 2 4 5 4" xfId="18569" xr:uid="{CCFF36CA-2BFA-427F-83C1-E37FEC19E822}"/>
    <cellStyle name="Comma 4 2 4 5 5" xfId="10095" xr:uid="{581E98D5-31B6-4077-ACAB-8C493964AC61}"/>
    <cellStyle name="Comma 4 2 4 6" xfId="1959" xr:uid="{00000000-0005-0000-0000-0000D9080000}"/>
    <cellStyle name="Comma 4 2 4 6 2" xfId="4188" xr:uid="{00000000-0005-0000-0000-0000DA080000}"/>
    <cellStyle name="Comma 4 2 4 6 2 2" xfId="8410" xr:uid="{00000000-0005-0000-0000-0000DB080000}"/>
    <cellStyle name="Comma 4 2 4 6 2 2 2" xfId="25345" xr:uid="{8A9197B7-A635-4018-AEDF-D129BEE5011D}"/>
    <cellStyle name="Comma 4 2 4 6 2 2 3" xfId="16904" xr:uid="{C99B2295-DE5F-48BA-9CBF-5AC60DD01125}"/>
    <cellStyle name="Comma 4 2 4 6 2 3" xfId="21127" xr:uid="{AA35A8EC-5F0A-4409-9744-AAE2C20E56B4}"/>
    <cellStyle name="Comma 4 2 4 6 2 4" xfId="12685" xr:uid="{80F1C089-A229-4793-BFF8-4D4E52A47117}"/>
    <cellStyle name="Comma 4 2 4 6 3" xfId="6265" xr:uid="{00000000-0005-0000-0000-0000DC080000}"/>
    <cellStyle name="Comma 4 2 4 6 3 2" xfId="23200" xr:uid="{EA52BF17-81E6-4638-AEF1-88414AD03513}"/>
    <cellStyle name="Comma 4 2 4 6 3 3" xfId="14759" xr:uid="{EB5C0E26-76BF-4236-9C59-B2CE8B0325B5}"/>
    <cellStyle name="Comma 4 2 4 6 4" xfId="18982" xr:uid="{084C30E5-FF48-485C-97CF-100A9ABA663E}"/>
    <cellStyle name="Comma 4 2 4 6 5" xfId="10508" xr:uid="{2FDCCEC2-A36A-4273-A530-9F35BB3EB508}"/>
    <cellStyle name="Comma 4 2 4 7" xfId="2394" xr:uid="{00000000-0005-0000-0000-0000DD080000}"/>
    <cellStyle name="Comma 4 2 4 7 2" xfId="6678" xr:uid="{00000000-0005-0000-0000-0000DE080000}"/>
    <cellStyle name="Comma 4 2 4 7 2 2" xfId="23613" xr:uid="{F36755DD-EA4C-4722-8EF1-8077289D5C70}"/>
    <cellStyle name="Comma 4 2 4 7 2 3" xfId="15172" xr:uid="{EF4977C5-015E-4D0C-A636-B278728BC469}"/>
    <cellStyle name="Comma 4 2 4 7 3" xfId="19395" xr:uid="{EE73ED01-83EA-420E-AFCA-99EACF2FCC5B}"/>
    <cellStyle name="Comma 4 2 4 7 4" xfId="10943" xr:uid="{1CF2F4D9-34E8-4827-BD7E-AF7F677D155C}"/>
    <cellStyle name="Comma 4 2 4 8" xfId="2369" xr:uid="{00000000-0005-0000-0000-0000DF080000}"/>
    <cellStyle name="Comma 4 2 4 8 2" xfId="10918" xr:uid="{A02AE2F6-5FF3-4E56-AAE9-2AB5C4169C73}"/>
    <cellStyle name="Comma 4 2 4 9" xfId="2772" xr:uid="{00000000-0005-0000-0000-0000E0080000}"/>
    <cellStyle name="Comma 4 2 4 9 2" xfId="6995" xr:uid="{00000000-0005-0000-0000-0000E1080000}"/>
    <cellStyle name="Comma 4 2 4 9 2 2" xfId="23930" xr:uid="{7AB837D6-2D7A-447D-8571-B7B615DE006A}"/>
    <cellStyle name="Comma 4 2 4 9 2 3" xfId="15489" xr:uid="{78B36490-5286-4437-9952-9D41C8B273ED}"/>
    <cellStyle name="Comma 4 2 4 9 3" xfId="19712" xr:uid="{C033B07D-8D50-48FD-AF17-74D8704185F6}"/>
    <cellStyle name="Comma 4 2 4 9 4" xfId="11270" xr:uid="{EAC8A654-3915-459E-8927-13C8A78CA287}"/>
    <cellStyle name="Comma 4 2 5" xfId="142" xr:uid="{00000000-0005-0000-0000-0000E2080000}"/>
    <cellStyle name="Comma 4 2 5 10" xfId="17331" xr:uid="{BE8DD4E1-5BF3-499C-ADAF-E4ACCE66CC5F}"/>
    <cellStyle name="Comma 4 2 5 11" xfId="8852" xr:uid="{D1BC74EB-A09F-4062-8502-22F0D4B03A43}"/>
    <cellStyle name="Comma 4 2 5 2" xfId="680" xr:uid="{00000000-0005-0000-0000-0000E3080000}"/>
    <cellStyle name="Comma 4 2 5 2 2" xfId="2951" xr:uid="{00000000-0005-0000-0000-0000E4080000}"/>
    <cellStyle name="Comma 4 2 5 2 2 2" xfId="7173" xr:uid="{00000000-0005-0000-0000-0000E5080000}"/>
    <cellStyle name="Comma 4 2 5 2 2 2 2" xfId="24108" xr:uid="{8442C51F-3C0D-4EF1-A9EE-0F836D043231}"/>
    <cellStyle name="Comma 4 2 5 2 2 2 3" xfId="15667" xr:uid="{C23CBB9D-2968-492A-9F3E-814FE8C4F9A1}"/>
    <cellStyle name="Comma 4 2 5 2 2 3" xfId="19890" xr:uid="{A4870C6E-236F-45FB-BB91-76CC8FD385CD}"/>
    <cellStyle name="Comma 4 2 5 2 2 4" xfId="11448" xr:uid="{A9C3CA4B-A75C-4542-A968-12DAFD31A754}"/>
    <cellStyle name="Comma 4 2 5 2 3" xfId="5028" xr:uid="{00000000-0005-0000-0000-0000E6080000}"/>
    <cellStyle name="Comma 4 2 5 2 3 2" xfId="21963" xr:uid="{9F2CAACB-1F7A-4C1D-B3D2-143FB1B8FB55}"/>
    <cellStyle name="Comma 4 2 5 2 3 3" xfId="13522" xr:uid="{86F239F8-7ECF-4D65-BF51-6C6543A98B82}"/>
    <cellStyle name="Comma 4 2 5 2 4" xfId="17745" xr:uid="{2AC19CD2-D6E7-45D5-A48F-156DFD177163}"/>
    <cellStyle name="Comma 4 2 5 2 5" xfId="9270" xr:uid="{84BD78BB-EB13-488D-BC03-5DA11B0979A4}"/>
    <cellStyle name="Comma 4 2 5 3" xfId="1133" xr:uid="{00000000-0005-0000-0000-0000E7080000}"/>
    <cellStyle name="Comma 4 2 5 3 2" xfId="3364" xr:uid="{00000000-0005-0000-0000-0000E8080000}"/>
    <cellStyle name="Comma 4 2 5 3 2 2" xfId="7586" xr:uid="{00000000-0005-0000-0000-0000E9080000}"/>
    <cellStyle name="Comma 4 2 5 3 2 2 2" xfId="24521" xr:uid="{5DEF5A2C-4D96-497F-A661-0D8D6FCFBD19}"/>
    <cellStyle name="Comma 4 2 5 3 2 2 3" xfId="16080" xr:uid="{DE4FA56E-78D1-41C3-8872-0693CC9464F6}"/>
    <cellStyle name="Comma 4 2 5 3 2 3" xfId="20303" xr:uid="{3B3A7038-DCDA-4AD2-8133-5F23D65800D7}"/>
    <cellStyle name="Comma 4 2 5 3 2 4" xfId="11861" xr:uid="{DCD74E3B-DE5D-4877-9ACC-8F8AC271930F}"/>
    <cellStyle name="Comma 4 2 5 3 3" xfId="5441" xr:uid="{00000000-0005-0000-0000-0000EA080000}"/>
    <cellStyle name="Comma 4 2 5 3 3 2" xfId="22376" xr:uid="{44A28942-C2D8-44FA-84CA-D0B8A5571A0F}"/>
    <cellStyle name="Comma 4 2 5 3 3 3" xfId="13935" xr:uid="{B3E78749-F6C7-4A76-B6FC-D8CDC43FC8D4}"/>
    <cellStyle name="Comma 4 2 5 3 4" xfId="18158" xr:uid="{84711173-E150-43DD-8787-5161F86FBC0B}"/>
    <cellStyle name="Comma 4 2 5 3 5" xfId="9684" xr:uid="{487A6BA4-252E-4612-9971-6B1FFD2587D1}"/>
    <cellStyle name="Comma 4 2 5 4" xfId="1547" xr:uid="{00000000-0005-0000-0000-0000EB080000}"/>
    <cellStyle name="Comma 4 2 5 4 2" xfId="3777" xr:uid="{00000000-0005-0000-0000-0000EC080000}"/>
    <cellStyle name="Comma 4 2 5 4 2 2" xfId="7999" xr:uid="{00000000-0005-0000-0000-0000ED080000}"/>
    <cellStyle name="Comma 4 2 5 4 2 2 2" xfId="24934" xr:uid="{B30E010E-58CB-46A5-B847-E8DB579A2FB3}"/>
    <cellStyle name="Comma 4 2 5 4 2 2 3" xfId="16493" xr:uid="{3AC7E4D4-15D3-420C-88CE-4A732B0CD289}"/>
    <cellStyle name="Comma 4 2 5 4 2 3" xfId="20716" xr:uid="{A2537A45-FBDB-41E0-9264-0BBE89DAF99B}"/>
    <cellStyle name="Comma 4 2 5 4 2 4" xfId="12274" xr:uid="{0F360A45-742D-4662-8A17-59E537E02449}"/>
    <cellStyle name="Comma 4 2 5 4 3" xfId="5854" xr:uid="{00000000-0005-0000-0000-0000EE080000}"/>
    <cellStyle name="Comma 4 2 5 4 3 2" xfId="22789" xr:uid="{D5DD1814-B57E-4BBF-BDFA-EA3D697EABA9}"/>
    <cellStyle name="Comma 4 2 5 4 3 3" xfId="14348" xr:uid="{A701C539-DA7C-49F8-A8EB-E998FFCCE30E}"/>
    <cellStyle name="Comma 4 2 5 4 4" xfId="18571" xr:uid="{007F7CA1-EEAA-4713-90D4-93DAB29C7EE7}"/>
    <cellStyle name="Comma 4 2 5 4 5" xfId="10097" xr:uid="{87FABFE8-114C-4498-B070-C2B23EB58430}"/>
    <cellStyle name="Comma 4 2 5 5" xfId="1961" xr:uid="{00000000-0005-0000-0000-0000EF080000}"/>
    <cellStyle name="Comma 4 2 5 5 2" xfId="4190" xr:uid="{00000000-0005-0000-0000-0000F0080000}"/>
    <cellStyle name="Comma 4 2 5 5 2 2" xfId="8412" xr:uid="{00000000-0005-0000-0000-0000F1080000}"/>
    <cellStyle name="Comma 4 2 5 5 2 2 2" xfId="25347" xr:uid="{613E64BF-DF38-440E-AD49-73BDFDB4852F}"/>
    <cellStyle name="Comma 4 2 5 5 2 2 3" xfId="16906" xr:uid="{F41A8379-7292-4AB1-BD3A-2B99469444E7}"/>
    <cellStyle name="Comma 4 2 5 5 2 3" xfId="21129" xr:uid="{E8BF8AC6-A5E3-4786-8CD3-ECA08C8BEEA6}"/>
    <cellStyle name="Comma 4 2 5 5 2 4" xfId="12687" xr:uid="{FB69D0ED-1F16-4750-8296-C9E8A5BCB518}"/>
    <cellStyle name="Comma 4 2 5 5 3" xfId="6267" xr:uid="{00000000-0005-0000-0000-0000F2080000}"/>
    <cellStyle name="Comma 4 2 5 5 3 2" xfId="23202" xr:uid="{E87D459E-B582-43E2-B335-EFAF45C0BD5E}"/>
    <cellStyle name="Comma 4 2 5 5 3 3" xfId="14761" xr:uid="{20904C40-E890-462B-B63D-3A0CD5554DCD}"/>
    <cellStyle name="Comma 4 2 5 5 4" xfId="18984" xr:uid="{24F065CB-0438-49A6-BBB9-B7B3076C6C99}"/>
    <cellStyle name="Comma 4 2 5 5 5" xfId="10510" xr:uid="{273C5681-AF69-4215-B8AC-54BA6D98F0E3}"/>
    <cellStyle name="Comma 4 2 5 6" xfId="2396" xr:uid="{00000000-0005-0000-0000-0000F3080000}"/>
    <cellStyle name="Comma 4 2 5 6 2" xfId="6680" xr:uid="{00000000-0005-0000-0000-0000F4080000}"/>
    <cellStyle name="Comma 4 2 5 6 2 2" xfId="23615" xr:uid="{805F4458-5963-4FE9-B18F-2C0373B57E9D}"/>
    <cellStyle name="Comma 4 2 5 6 2 3" xfId="15174" xr:uid="{3400EEC3-7896-4808-933C-201CB40432A0}"/>
    <cellStyle name="Comma 4 2 5 6 3" xfId="19397" xr:uid="{2A5BE743-E174-4EE7-A18D-E01A2A0A0C2A}"/>
    <cellStyle name="Comma 4 2 5 6 4" xfId="10945" xr:uid="{BAD22A80-D300-48F5-B63B-E4EE9FFA1198}"/>
    <cellStyle name="Comma 4 2 5 7" xfId="2367" xr:uid="{00000000-0005-0000-0000-0000F5080000}"/>
    <cellStyle name="Comma 4 2 5 7 2" xfId="10916" xr:uid="{DE6B2FB5-C43C-4101-8901-4436DE4EB0D4}"/>
    <cellStyle name="Comma 4 2 5 8" xfId="2774" xr:uid="{00000000-0005-0000-0000-0000F6080000}"/>
    <cellStyle name="Comma 4 2 5 8 2" xfId="6997" xr:uid="{00000000-0005-0000-0000-0000F7080000}"/>
    <cellStyle name="Comma 4 2 5 8 2 2" xfId="23932" xr:uid="{7B8B0ECA-A91E-4C30-9300-73347EB7C3CD}"/>
    <cellStyle name="Comma 4 2 5 8 2 3" xfId="15491" xr:uid="{3CE5D0E8-467E-4C12-98C5-297DA192261F}"/>
    <cellStyle name="Comma 4 2 5 8 3" xfId="19714" xr:uid="{171BBF52-308A-4CC9-8982-EDDE0CE99AC8}"/>
    <cellStyle name="Comma 4 2 5 8 4" xfId="11272" xr:uid="{9BD7DEFC-54BD-44E6-96FA-5E38CAF76289}"/>
    <cellStyle name="Comma 4 2 5 9" xfId="4614" xr:uid="{00000000-0005-0000-0000-0000F8080000}"/>
    <cellStyle name="Comma 4 2 5 9 2" xfId="21549" xr:uid="{F677ED23-6203-4D2D-B4F9-48EEED36F0CB}"/>
    <cellStyle name="Comma 4 2 5 9 3" xfId="13108" xr:uid="{402C443D-CD9D-4B64-BB16-9DDEBF35900E}"/>
    <cellStyle name="Comma 4 2 6" xfId="143" xr:uid="{00000000-0005-0000-0000-0000F9080000}"/>
    <cellStyle name="Comma 4 2 6 10" xfId="17332" xr:uid="{D301C994-41AC-4BA3-AA37-148D9DD0DDB1}"/>
    <cellStyle name="Comma 4 2 6 11" xfId="8853" xr:uid="{1A4CD6F4-1377-4EB7-9BCD-1A9EBC64DEB8}"/>
    <cellStyle name="Comma 4 2 6 2" xfId="681" xr:uid="{00000000-0005-0000-0000-0000FA080000}"/>
    <cellStyle name="Comma 4 2 6 2 2" xfId="2952" xr:uid="{00000000-0005-0000-0000-0000FB080000}"/>
    <cellStyle name="Comma 4 2 6 2 2 2" xfId="7174" xr:uid="{00000000-0005-0000-0000-0000FC080000}"/>
    <cellStyle name="Comma 4 2 6 2 2 2 2" xfId="24109" xr:uid="{E40FF4B6-C238-41B6-AFC8-E236CD6F73A0}"/>
    <cellStyle name="Comma 4 2 6 2 2 2 3" xfId="15668" xr:uid="{3D9700B0-F0DC-444C-B0EC-D2771B838738}"/>
    <cellStyle name="Comma 4 2 6 2 2 3" xfId="19891" xr:uid="{2BCECC59-213F-4EFF-A98F-1DCDED28D2F0}"/>
    <cellStyle name="Comma 4 2 6 2 2 4" xfId="11449" xr:uid="{1D64DA7F-39D6-43D2-AF22-B81E5625ABD5}"/>
    <cellStyle name="Comma 4 2 6 2 3" xfId="5029" xr:uid="{00000000-0005-0000-0000-0000FD080000}"/>
    <cellStyle name="Comma 4 2 6 2 3 2" xfId="21964" xr:uid="{FFEFD99E-6811-4CF0-BD78-48BDDD2C9172}"/>
    <cellStyle name="Comma 4 2 6 2 3 3" xfId="13523" xr:uid="{03C2FA29-BD4B-4EE4-98D8-1C41A3641F20}"/>
    <cellStyle name="Comma 4 2 6 2 4" xfId="17746" xr:uid="{AE9733C9-4DCD-44FD-AF54-123D740D87C0}"/>
    <cellStyle name="Comma 4 2 6 2 5" xfId="9271" xr:uid="{CD46C561-EDBE-45BE-98BF-B0539F8BEC6D}"/>
    <cellStyle name="Comma 4 2 6 3" xfId="1134" xr:uid="{00000000-0005-0000-0000-0000FE080000}"/>
    <cellStyle name="Comma 4 2 6 3 2" xfId="3365" xr:uid="{00000000-0005-0000-0000-0000FF080000}"/>
    <cellStyle name="Comma 4 2 6 3 2 2" xfId="7587" xr:uid="{00000000-0005-0000-0000-000000090000}"/>
    <cellStyle name="Comma 4 2 6 3 2 2 2" xfId="24522" xr:uid="{68E853E0-68E4-4A85-9FC2-FDCD0D42842A}"/>
    <cellStyle name="Comma 4 2 6 3 2 2 3" xfId="16081" xr:uid="{EC19524E-D0F6-4315-9794-CDB0D5BF9F48}"/>
    <cellStyle name="Comma 4 2 6 3 2 3" xfId="20304" xr:uid="{6A728CF8-3245-4D25-AAF2-B1B641840F16}"/>
    <cellStyle name="Comma 4 2 6 3 2 4" xfId="11862" xr:uid="{B1214985-A14A-424E-9E43-6A9121A606D0}"/>
    <cellStyle name="Comma 4 2 6 3 3" xfId="5442" xr:uid="{00000000-0005-0000-0000-000001090000}"/>
    <cellStyle name="Comma 4 2 6 3 3 2" xfId="22377" xr:uid="{DD73A5D5-8CDF-47A9-9084-D2234D4B5246}"/>
    <cellStyle name="Comma 4 2 6 3 3 3" xfId="13936" xr:uid="{63F7A9C3-E1B8-453B-AA6F-9A3E058D9DD9}"/>
    <cellStyle name="Comma 4 2 6 3 4" xfId="18159" xr:uid="{07E7F5E7-BD62-444C-89BE-6E06F62A5D6A}"/>
    <cellStyle name="Comma 4 2 6 3 5" xfId="9685" xr:uid="{9E75CED7-8198-4BB7-8FF7-B6F0BFE4721B}"/>
    <cellStyle name="Comma 4 2 6 4" xfId="1548" xr:uid="{00000000-0005-0000-0000-000002090000}"/>
    <cellStyle name="Comma 4 2 6 4 2" xfId="3778" xr:uid="{00000000-0005-0000-0000-000003090000}"/>
    <cellStyle name="Comma 4 2 6 4 2 2" xfId="8000" xr:uid="{00000000-0005-0000-0000-000004090000}"/>
    <cellStyle name="Comma 4 2 6 4 2 2 2" xfId="24935" xr:uid="{638CC5DF-4635-4B19-942F-5A6EA7F72D7F}"/>
    <cellStyle name="Comma 4 2 6 4 2 2 3" xfId="16494" xr:uid="{D1A3E9AD-0769-4403-B872-E86D83B6E91F}"/>
    <cellStyle name="Comma 4 2 6 4 2 3" xfId="20717" xr:uid="{EEC433E6-701E-4012-8A7D-351AE34D316F}"/>
    <cellStyle name="Comma 4 2 6 4 2 4" xfId="12275" xr:uid="{95C9D6BC-DB20-4D78-970B-2F5276D747DB}"/>
    <cellStyle name="Comma 4 2 6 4 3" xfId="5855" xr:uid="{00000000-0005-0000-0000-000005090000}"/>
    <cellStyle name="Comma 4 2 6 4 3 2" xfId="22790" xr:uid="{CC11DD8B-8289-4A23-B906-217A8D7B65E7}"/>
    <cellStyle name="Comma 4 2 6 4 3 3" xfId="14349" xr:uid="{4FB83C99-8C1E-41B7-8F93-2F8DB27718E9}"/>
    <cellStyle name="Comma 4 2 6 4 4" xfId="18572" xr:uid="{4227C6DB-BDEE-4D8B-9A6D-8A614C6FAEAF}"/>
    <cellStyle name="Comma 4 2 6 4 5" xfId="10098" xr:uid="{AE988298-BE27-4AAD-A70D-F5EDBA2BA029}"/>
    <cellStyle name="Comma 4 2 6 5" xfId="1962" xr:uid="{00000000-0005-0000-0000-000006090000}"/>
    <cellStyle name="Comma 4 2 6 5 2" xfId="4191" xr:uid="{00000000-0005-0000-0000-000007090000}"/>
    <cellStyle name="Comma 4 2 6 5 2 2" xfId="8413" xr:uid="{00000000-0005-0000-0000-000008090000}"/>
    <cellStyle name="Comma 4 2 6 5 2 2 2" xfId="25348" xr:uid="{1BC421C4-8A83-475A-A06F-005D688C084D}"/>
    <cellStyle name="Comma 4 2 6 5 2 2 3" xfId="16907" xr:uid="{4C90FB06-1358-4256-A0E6-64195BD1BBF1}"/>
    <cellStyle name="Comma 4 2 6 5 2 3" xfId="21130" xr:uid="{EAE480A6-161C-4845-991F-66DD3C38F545}"/>
    <cellStyle name="Comma 4 2 6 5 2 4" xfId="12688" xr:uid="{63E0A70F-AE1D-4499-95B0-D5AF37B5089B}"/>
    <cellStyle name="Comma 4 2 6 5 3" xfId="6268" xr:uid="{00000000-0005-0000-0000-000009090000}"/>
    <cellStyle name="Comma 4 2 6 5 3 2" xfId="23203" xr:uid="{D4270724-F980-49A5-90A3-1E48FCB2FF66}"/>
    <cellStyle name="Comma 4 2 6 5 3 3" xfId="14762" xr:uid="{000CE804-623E-44A2-B717-8D9A1A4B9AF7}"/>
    <cellStyle name="Comma 4 2 6 5 4" xfId="18985" xr:uid="{CA0CFB56-2109-40BF-A4D7-9AD605214820}"/>
    <cellStyle name="Comma 4 2 6 5 5" xfId="10511" xr:uid="{B67776FD-F563-4EBA-B414-01F763728A34}"/>
    <cellStyle name="Comma 4 2 6 6" xfId="2397" xr:uid="{00000000-0005-0000-0000-00000A090000}"/>
    <cellStyle name="Comma 4 2 6 6 2" xfId="6681" xr:uid="{00000000-0005-0000-0000-00000B090000}"/>
    <cellStyle name="Comma 4 2 6 6 2 2" xfId="23616" xr:uid="{32FC78D6-427F-4203-AF3B-6B8DC6287633}"/>
    <cellStyle name="Comma 4 2 6 6 2 3" xfId="15175" xr:uid="{097A497F-1091-4B0D-AB82-7A256F8338C1}"/>
    <cellStyle name="Comma 4 2 6 6 3" xfId="19398" xr:uid="{E575FB7B-E319-47C1-802D-18E52E39E7B6}"/>
    <cellStyle name="Comma 4 2 6 6 4" xfId="10946" xr:uid="{319D4FBC-048E-4436-B48A-98EADAF2207F}"/>
    <cellStyle name="Comma 4 2 6 7" xfId="2366" xr:uid="{00000000-0005-0000-0000-00000C090000}"/>
    <cellStyle name="Comma 4 2 6 7 2" xfId="10915" xr:uid="{537EEE22-3B20-4258-A6E0-C39A44BAD2CA}"/>
    <cellStyle name="Comma 4 2 6 8" xfId="2775" xr:uid="{00000000-0005-0000-0000-00000D090000}"/>
    <cellStyle name="Comma 4 2 6 8 2" xfId="6998" xr:uid="{00000000-0005-0000-0000-00000E090000}"/>
    <cellStyle name="Comma 4 2 6 8 2 2" xfId="23933" xr:uid="{95518503-917A-41A2-9109-CC8FC2604861}"/>
    <cellStyle name="Comma 4 2 6 8 2 3" xfId="15492" xr:uid="{EF55C7CB-8232-4B86-AE19-A41D162CB010}"/>
    <cellStyle name="Comma 4 2 6 8 3" xfId="19715" xr:uid="{6D2F28EC-2BA2-4596-9FB2-7F37D1BB7E44}"/>
    <cellStyle name="Comma 4 2 6 8 4" xfId="11273" xr:uid="{268831DD-0BED-4F2D-9599-A6136FED4659}"/>
    <cellStyle name="Comma 4 2 6 9" xfId="4615" xr:uid="{00000000-0005-0000-0000-00000F090000}"/>
    <cellStyle name="Comma 4 2 6 9 2" xfId="21550" xr:uid="{CEE30E00-7539-461E-A656-D88617B92EF1}"/>
    <cellStyle name="Comma 4 2 6 9 3" xfId="13109" xr:uid="{669B3FCD-DF6F-4965-83D6-737111FA8598}"/>
    <cellStyle name="Comma 4 2 7" xfId="8836" xr:uid="{77A5830D-D912-46B4-8CD7-55B1BB3132E9}"/>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3934" xr:uid="{C46E135A-9769-4567-8A41-36CE2379D01F}"/>
    <cellStyle name="Comma 4 3 2 10 2 3" xfId="15493" xr:uid="{1FB31766-DF30-4747-969D-6F77368D8FD1}"/>
    <cellStyle name="Comma 4 3 2 10 3" xfId="19716" xr:uid="{27544FF5-3500-4643-9822-D0761870B605}"/>
    <cellStyle name="Comma 4 3 2 10 4" xfId="11274" xr:uid="{F8476CB7-AC3E-4BA3-B4ED-568252F949E2}"/>
    <cellStyle name="Comma 4 3 2 11" xfId="4616" xr:uid="{00000000-0005-0000-0000-000014090000}"/>
    <cellStyle name="Comma 4 3 2 11 2" xfId="21551" xr:uid="{09E600CA-862D-445F-93A5-1C16E1167F2B}"/>
    <cellStyle name="Comma 4 3 2 11 3" xfId="13110" xr:uid="{9F20961C-2BE6-4E74-ADC1-162BDB1E093B}"/>
    <cellStyle name="Comma 4 3 2 12" xfId="17333" xr:uid="{E444C75B-63F8-4776-9EE7-538B5F87814E}"/>
    <cellStyle name="Comma 4 3 2 13" xfId="8855" xr:uid="{65ECAC4D-387C-4628-8E07-AF5F2088D401}"/>
    <cellStyle name="Comma 4 3 2 2" xfId="146" xr:uid="{00000000-0005-0000-0000-000015090000}"/>
    <cellStyle name="Comma 4 3 2 2 10" xfId="4617" xr:uid="{00000000-0005-0000-0000-000016090000}"/>
    <cellStyle name="Comma 4 3 2 2 10 2" xfId="21552" xr:uid="{A9B14322-FDFE-480E-8954-673A98D00ADB}"/>
    <cellStyle name="Comma 4 3 2 2 10 3" xfId="13111" xr:uid="{44721E2D-A843-4EF5-980F-2FE8B0CB9296}"/>
    <cellStyle name="Comma 4 3 2 2 11" xfId="17334" xr:uid="{708DB66E-9E99-4668-AAE0-F6DE2E348C2A}"/>
    <cellStyle name="Comma 4 3 2 2 12" xfId="8856" xr:uid="{CF512E88-1359-4569-A540-65029C00C313}"/>
    <cellStyle name="Comma 4 3 2 2 2" xfId="147" xr:uid="{00000000-0005-0000-0000-000017090000}"/>
    <cellStyle name="Comma 4 3 2 2 2 10" xfId="17335" xr:uid="{F079560B-DAD9-4649-BECA-F66A7BA46FCE}"/>
    <cellStyle name="Comma 4 3 2 2 2 11" xfId="8857" xr:uid="{77882D7C-7028-459E-A6C5-FC061F8BE667}"/>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112" xr:uid="{A2424B7F-74F8-4222-8C8A-47C562CA8158}"/>
    <cellStyle name="Comma 4 3 2 2 2 2 2 2 3" xfId="15671" xr:uid="{5EF0E90C-EBE6-4776-ACA1-E6CED842F5C0}"/>
    <cellStyle name="Comma 4 3 2 2 2 2 2 3" xfId="19894" xr:uid="{7BBE8B28-5FAA-4F92-A267-613AAFEC17E7}"/>
    <cellStyle name="Comma 4 3 2 2 2 2 2 4" xfId="11452" xr:uid="{6ECCEFF3-5CFF-4C9E-828A-A4133D81ADCA}"/>
    <cellStyle name="Comma 4 3 2 2 2 2 3" xfId="5032" xr:uid="{00000000-0005-0000-0000-00001B090000}"/>
    <cellStyle name="Comma 4 3 2 2 2 2 3 2" xfId="21967" xr:uid="{1C4206F6-E9E3-4467-BDFF-5A09BFDE9CDE}"/>
    <cellStyle name="Comma 4 3 2 2 2 2 3 3" xfId="13526" xr:uid="{8F7D8468-8E32-433C-B1A5-5124FC0BD53C}"/>
    <cellStyle name="Comma 4 3 2 2 2 2 4" xfId="17749" xr:uid="{CB1C2CC4-D01A-48C5-93EC-2C0CA86370B9}"/>
    <cellStyle name="Comma 4 3 2 2 2 2 5" xfId="9274" xr:uid="{9C710A73-175E-4A22-A2A0-C0EE5BB9CD4B}"/>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4525" xr:uid="{A35F5237-B292-45BB-935E-55513B3C2ACE}"/>
    <cellStyle name="Comma 4 3 2 2 2 3 2 2 3" xfId="16084" xr:uid="{9CE5A100-A7C5-4BE7-BDCE-3564393C6335}"/>
    <cellStyle name="Comma 4 3 2 2 2 3 2 3" xfId="20307" xr:uid="{D1C10A1C-B32B-433D-BF29-0DE2CFF88867}"/>
    <cellStyle name="Comma 4 3 2 2 2 3 2 4" xfId="11865" xr:uid="{F13EAB8D-10B3-4738-A9C0-C3FAB05E1AEC}"/>
    <cellStyle name="Comma 4 3 2 2 2 3 3" xfId="5445" xr:uid="{00000000-0005-0000-0000-00001F090000}"/>
    <cellStyle name="Comma 4 3 2 2 2 3 3 2" xfId="22380" xr:uid="{33C5FD07-96E1-4A4E-94DD-06CBC20F4A7D}"/>
    <cellStyle name="Comma 4 3 2 2 2 3 3 3" xfId="13939" xr:uid="{A2CCF6AA-F73C-4679-87C2-EB436F767BD6}"/>
    <cellStyle name="Comma 4 3 2 2 2 3 4" xfId="18162" xr:uid="{C0219E7A-B7C5-4649-AB72-11FFBF4D4415}"/>
    <cellStyle name="Comma 4 3 2 2 2 3 5" xfId="9688" xr:uid="{8062AD1A-E309-4CF4-87EC-3357279BE8A5}"/>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4938" xr:uid="{5A3707C1-52EB-4D63-8803-7B535F896F82}"/>
    <cellStyle name="Comma 4 3 2 2 2 4 2 2 3" xfId="16497" xr:uid="{0E99E4C8-B363-4F46-BC70-04D14563C59D}"/>
    <cellStyle name="Comma 4 3 2 2 2 4 2 3" xfId="20720" xr:uid="{A9468425-C7C6-40E0-9327-248CFD3770CA}"/>
    <cellStyle name="Comma 4 3 2 2 2 4 2 4" xfId="12278" xr:uid="{48220F92-31D4-451D-A232-481963A4A062}"/>
    <cellStyle name="Comma 4 3 2 2 2 4 3" xfId="5858" xr:uid="{00000000-0005-0000-0000-000023090000}"/>
    <cellStyle name="Comma 4 3 2 2 2 4 3 2" xfId="22793" xr:uid="{64521C4E-7720-48AC-8E0D-2ED6DAC62BB3}"/>
    <cellStyle name="Comma 4 3 2 2 2 4 3 3" xfId="14352" xr:uid="{84E97DAA-1C9E-44D1-A60E-77A7CCA6607B}"/>
    <cellStyle name="Comma 4 3 2 2 2 4 4" xfId="18575" xr:uid="{34BFF685-A7DF-4CC1-8A14-EC094EBDE13B}"/>
    <cellStyle name="Comma 4 3 2 2 2 4 5" xfId="10101" xr:uid="{8B9F8B17-E495-4A57-B60D-4E7DCDBD78B4}"/>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5351" xr:uid="{6EAB26FA-AF85-4094-8AB5-396047536164}"/>
    <cellStyle name="Comma 4 3 2 2 2 5 2 2 3" xfId="16910" xr:uid="{34C5144A-5B7F-438C-AC0F-AE002FEE76EE}"/>
    <cellStyle name="Comma 4 3 2 2 2 5 2 3" xfId="21133" xr:uid="{5617E03D-93FB-4D92-87C5-A2B9F4844AB2}"/>
    <cellStyle name="Comma 4 3 2 2 2 5 2 4" xfId="12691" xr:uid="{BB538C02-7F29-4B09-A28A-D695C311E8EE}"/>
    <cellStyle name="Comma 4 3 2 2 2 5 3" xfId="6271" xr:uid="{00000000-0005-0000-0000-000027090000}"/>
    <cellStyle name="Comma 4 3 2 2 2 5 3 2" xfId="23206" xr:uid="{35551ECC-3606-4317-B89B-3E9BF72E216D}"/>
    <cellStyle name="Comma 4 3 2 2 2 5 3 3" xfId="14765" xr:uid="{CE620DF2-5A79-484D-8E9C-254772D99E80}"/>
    <cellStyle name="Comma 4 3 2 2 2 5 4" xfId="18988" xr:uid="{B2C8CD93-5158-45A6-8F31-0F25F2D78462}"/>
    <cellStyle name="Comma 4 3 2 2 2 5 5" xfId="10514" xr:uid="{27C137EE-E6F8-46D8-88C9-D516C328DC1A}"/>
    <cellStyle name="Comma 4 3 2 2 2 6" xfId="2400" xr:uid="{00000000-0005-0000-0000-000028090000}"/>
    <cellStyle name="Comma 4 3 2 2 2 6 2" xfId="6684" xr:uid="{00000000-0005-0000-0000-000029090000}"/>
    <cellStyle name="Comma 4 3 2 2 2 6 2 2" xfId="23619" xr:uid="{4F01A50A-7339-4FD4-859E-5DA2B720B31E}"/>
    <cellStyle name="Comma 4 3 2 2 2 6 2 3" xfId="15178" xr:uid="{E56E4358-C12F-4055-8E22-5A29BDD7E2D7}"/>
    <cellStyle name="Comma 4 3 2 2 2 6 3" xfId="19401" xr:uid="{D2AF8F27-AF77-4D93-A63A-EC36CC300C8B}"/>
    <cellStyle name="Comma 4 3 2 2 2 6 4" xfId="10949" xr:uid="{7D34C413-C4C8-43B6-82B5-53C5EC747BCF}"/>
    <cellStyle name="Comma 4 3 2 2 2 7" xfId="2363" xr:uid="{00000000-0005-0000-0000-00002A090000}"/>
    <cellStyle name="Comma 4 3 2 2 2 7 2" xfId="10912" xr:uid="{AE59997F-E173-4F9F-ADF4-E193D61FF593}"/>
    <cellStyle name="Comma 4 3 2 2 2 8" xfId="2778" xr:uid="{00000000-0005-0000-0000-00002B090000}"/>
    <cellStyle name="Comma 4 3 2 2 2 8 2" xfId="7001" xr:uid="{00000000-0005-0000-0000-00002C090000}"/>
    <cellStyle name="Comma 4 3 2 2 2 8 2 2" xfId="23936" xr:uid="{77A75CF3-3C8B-4427-809E-3C3F20204917}"/>
    <cellStyle name="Comma 4 3 2 2 2 8 2 3" xfId="15495" xr:uid="{321925A7-DFBA-4792-BA16-96FAFFF9C8F9}"/>
    <cellStyle name="Comma 4 3 2 2 2 8 3" xfId="19718" xr:uid="{E32D8D24-97CA-4F59-AE07-D672D6256003}"/>
    <cellStyle name="Comma 4 3 2 2 2 8 4" xfId="11276" xr:uid="{05B35A30-ADFF-4FBB-B4B8-C19C57566F09}"/>
    <cellStyle name="Comma 4 3 2 2 2 9" xfId="4618" xr:uid="{00000000-0005-0000-0000-00002D090000}"/>
    <cellStyle name="Comma 4 3 2 2 2 9 2" xfId="21553" xr:uid="{ADA3CC0D-75CF-4D60-B210-DDB91722B258}"/>
    <cellStyle name="Comma 4 3 2 2 2 9 3" xfId="13112" xr:uid="{0D4BEE7E-0A9D-4982-B1F3-43F1D6A451C7}"/>
    <cellStyle name="Comma 4 3 2 2 3" xfId="683" xr:uid="{00000000-0005-0000-0000-00002E090000}"/>
    <cellStyle name="Comma 4 3 2 2 3 2" xfId="2954" xr:uid="{00000000-0005-0000-0000-00002F090000}"/>
    <cellStyle name="Comma 4 3 2 2 3 2 2" xfId="7176" xr:uid="{00000000-0005-0000-0000-000030090000}"/>
    <cellStyle name="Comma 4 3 2 2 3 2 2 2" xfId="24111" xr:uid="{DE0CDDDC-814D-4272-BEAF-904E7BB36D01}"/>
    <cellStyle name="Comma 4 3 2 2 3 2 2 3" xfId="15670" xr:uid="{B0DB8570-48BC-4FA5-8043-1E09F1DF2294}"/>
    <cellStyle name="Comma 4 3 2 2 3 2 3" xfId="19893" xr:uid="{BB16B9FD-6F76-4FA8-A5A2-6AE4B2E9D4F9}"/>
    <cellStyle name="Comma 4 3 2 2 3 2 4" xfId="11451" xr:uid="{F1272CCB-93EF-4F79-B203-163A232DAA6B}"/>
    <cellStyle name="Comma 4 3 2 2 3 3" xfId="5031" xr:uid="{00000000-0005-0000-0000-000031090000}"/>
    <cellStyle name="Comma 4 3 2 2 3 3 2" xfId="21966" xr:uid="{1D3D587B-8A5E-4887-BFD2-2827FB9E0B91}"/>
    <cellStyle name="Comma 4 3 2 2 3 3 3" xfId="13525" xr:uid="{F8FFDB28-74C7-4D16-8076-39EEB43A4C02}"/>
    <cellStyle name="Comma 4 3 2 2 3 4" xfId="17748" xr:uid="{D68584E9-962C-4D22-9364-B60A39D2E0FC}"/>
    <cellStyle name="Comma 4 3 2 2 3 5" xfId="9273" xr:uid="{117E1F6A-79BA-4FFA-9185-EDC47B5DC186}"/>
    <cellStyle name="Comma 4 3 2 2 4" xfId="1136" xr:uid="{00000000-0005-0000-0000-000032090000}"/>
    <cellStyle name="Comma 4 3 2 2 4 2" xfId="3367" xr:uid="{00000000-0005-0000-0000-000033090000}"/>
    <cellStyle name="Comma 4 3 2 2 4 2 2" xfId="7589" xr:uid="{00000000-0005-0000-0000-000034090000}"/>
    <cellStyle name="Comma 4 3 2 2 4 2 2 2" xfId="24524" xr:uid="{348A5FC0-2A10-4CCD-B403-F052DF6005C3}"/>
    <cellStyle name="Comma 4 3 2 2 4 2 2 3" xfId="16083" xr:uid="{8FC827F4-7A68-4AB8-AA96-5DA6A5CE1F5B}"/>
    <cellStyle name="Comma 4 3 2 2 4 2 3" xfId="20306" xr:uid="{AA78226D-82FF-4AE0-B04E-1D5B2D8B7038}"/>
    <cellStyle name="Comma 4 3 2 2 4 2 4" xfId="11864" xr:uid="{38CDB57B-6E17-48A1-802F-6C8A8731100A}"/>
    <cellStyle name="Comma 4 3 2 2 4 3" xfId="5444" xr:uid="{00000000-0005-0000-0000-000035090000}"/>
    <cellStyle name="Comma 4 3 2 2 4 3 2" xfId="22379" xr:uid="{59008EED-2A40-483B-9F31-BC35F9CEE683}"/>
    <cellStyle name="Comma 4 3 2 2 4 3 3" xfId="13938" xr:uid="{BEE34727-E865-43CE-A679-6B5A4F794E7E}"/>
    <cellStyle name="Comma 4 3 2 2 4 4" xfId="18161" xr:uid="{90231F12-D348-428C-BF75-96392CA96A0F}"/>
    <cellStyle name="Comma 4 3 2 2 4 5" xfId="9687" xr:uid="{280AE223-3CB1-4F74-964B-E3DCEC6F7EB8}"/>
    <cellStyle name="Comma 4 3 2 2 5" xfId="1550" xr:uid="{00000000-0005-0000-0000-000036090000}"/>
    <cellStyle name="Comma 4 3 2 2 5 2" xfId="3780" xr:uid="{00000000-0005-0000-0000-000037090000}"/>
    <cellStyle name="Comma 4 3 2 2 5 2 2" xfId="8002" xr:uid="{00000000-0005-0000-0000-000038090000}"/>
    <cellStyle name="Comma 4 3 2 2 5 2 2 2" xfId="24937" xr:uid="{5A81F964-6706-416D-8D53-4D4DC244C688}"/>
    <cellStyle name="Comma 4 3 2 2 5 2 2 3" xfId="16496" xr:uid="{EDA9E23B-206F-41D2-AD6B-6B84F44741B6}"/>
    <cellStyle name="Comma 4 3 2 2 5 2 3" xfId="20719" xr:uid="{754EDDB5-481E-4090-A715-1065932DDE82}"/>
    <cellStyle name="Comma 4 3 2 2 5 2 4" xfId="12277" xr:uid="{754C0AAF-7E35-4039-8657-4DFBA913EFE2}"/>
    <cellStyle name="Comma 4 3 2 2 5 3" xfId="5857" xr:uid="{00000000-0005-0000-0000-000039090000}"/>
    <cellStyle name="Comma 4 3 2 2 5 3 2" xfId="22792" xr:uid="{6E3E2265-A644-4036-8A0D-5B32FA495F11}"/>
    <cellStyle name="Comma 4 3 2 2 5 3 3" xfId="14351" xr:uid="{B5CC0F6B-8BAE-4528-9DB4-10D8FBB4C292}"/>
    <cellStyle name="Comma 4 3 2 2 5 4" xfId="18574" xr:uid="{FE674067-8AC5-4BA0-B9E1-888B739F5476}"/>
    <cellStyle name="Comma 4 3 2 2 5 5" xfId="10100" xr:uid="{5C2A7E30-2863-4F51-BDDB-E96F9CA27386}"/>
    <cellStyle name="Comma 4 3 2 2 6" xfId="1964" xr:uid="{00000000-0005-0000-0000-00003A090000}"/>
    <cellStyle name="Comma 4 3 2 2 6 2" xfId="4193" xr:uid="{00000000-0005-0000-0000-00003B090000}"/>
    <cellStyle name="Comma 4 3 2 2 6 2 2" xfId="8415" xr:uid="{00000000-0005-0000-0000-00003C090000}"/>
    <cellStyle name="Comma 4 3 2 2 6 2 2 2" xfId="25350" xr:uid="{B5633779-AC3F-4F4F-8678-79B17FB862C1}"/>
    <cellStyle name="Comma 4 3 2 2 6 2 2 3" xfId="16909" xr:uid="{BBC75F86-B817-4A74-A7A4-CE65B8FAE2AB}"/>
    <cellStyle name="Comma 4 3 2 2 6 2 3" xfId="21132" xr:uid="{E1DC7E88-F8E2-45B2-81A9-06762155CDF8}"/>
    <cellStyle name="Comma 4 3 2 2 6 2 4" xfId="12690" xr:uid="{B0B00582-0A7F-4544-B492-78D629A15430}"/>
    <cellStyle name="Comma 4 3 2 2 6 3" xfId="6270" xr:uid="{00000000-0005-0000-0000-00003D090000}"/>
    <cellStyle name="Comma 4 3 2 2 6 3 2" xfId="23205" xr:uid="{E25306DF-5283-4ECF-992F-467F83849696}"/>
    <cellStyle name="Comma 4 3 2 2 6 3 3" xfId="14764" xr:uid="{E578DB41-5A1C-4938-B375-BA814CD1F8CF}"/>
    <cellStyle name="Comma 4 3 2 2 6 4" xfId="18987" xr:uid="{E347209D-5BA6-4C30-AFA0-24000C581326}"/>
    <cellStyle name="Comma 4 3 2 2 6 5" xfId="10513" xr:uid="{03F8A671-A335-4F43-B900-23507C3D2EB0}"/>
    <cellStyle name="Comma 4 3 2 2 7" xfId="2399" xr:uid="{00000000-0005-0000-0000-00003E090000}"/>
    <cellStyle name="Comma 4 3 2 2 7 2" xfId="6683" xr:uid="{00000000-0005-0000-0000-00003F090000}"/>
    <cellStyle name="Comma 4 3 2 2 7 2 2" xfId="23618" xr:uid="{838D3784-B758-43D1-A101-7D021FB083BA}"/>
    <cellStyle name="Comma 4 3 2 2 7 2 3" xfId="15177" xr:uid="{2B79DCED-7F56-449D-942F-4ECC1A1A7154}"/>
    <cellStyle name="Comma 4 3 2 2 7 3" xfId="19400" xr:uid="{34E706E4-3030-4DC0-8CD9-97A3F19AA38D}"/>
    <cellStyle name="Comma 4 3 2 2 7 4" xfId="10948" xr:uid="{27DFF203-79D4-4005-B9C9-41D560712F0A}"/>
    <cellStyle name="Comma 4 3 2 2 8" xfId="2364" xr:uid="{00000000-0005-0000-0000-000040090000}"/>
    <cellStyle name="Comma 4 3 2 2 8 2" xfId="10913" xr:uid="{E4D8CA27-9E20-4A32-A9CD-16EF6F483081}"/>
    <cellStyle name="Comma 4 3 2 2 9" xfId="2777" xr:uid="{00000000-0005-0000-0000-000041090000}"/>
    <cellStyle name="Comma 4 3 2 2 9 2" xfId="7000" xr:uid="{00000000-0005-0000-0000-000042090000}"/>
    <cellStyle name="Comma 4 3 2 2 9 2 2" xfId="23935" xr:uid="{FF9EB209-BB6A-46B3-A78E-9B9BF469EAF2}"/>
    <cellStyle name="Comma 4 3 2 2 9 2 3" xfId="15494" xr:uid="{56CC1D9C-B268-4F7A-807D-AA1D9DC0AEFA}"/>
    <cellStyle name="Comma 4 3 2 2 9 3" xfId="19717" xr:uid="{942BCCBD-5605-43C7-96F5-2F4BB45D70AB}"/>
    <cellStyle name="Comma 4 3 2 2 9 4" xfId="11275" xr:uid="{49C2AAD3-E5AA-498A-A671-5899E90492E3}"/>
    <cellStyle name="Comma 4 3 2 3" xfId="148" xr:uid="{00000000-0005-0000-0000-000043090000}"/>
    <cellStyle name="Comma 4 3 2 3 10" xfId="17336" xr:uid="{1C915FEA-7F3F-41FD-9295-60AB42E6213E}"/>
    <cellStyle name="Comma 4 3 2 3 11" xfId="8858" xr:uid="{5246F782-465F-4943-B467-4C8AFAC71C96}"/>
    <cellStyle name="Comma 4 3 2 3 2" xfId="685" xr:uid="{00000000-0005-0000-0000-000044090000}"/>
    <cellStyle name="Comma 4 3 2 3 2 2" xfId="2956" xr:uid="{00000000-0005-0000-0000-000045090000}"/>
    <cellStyle name="Comma 4 3 2 3 2 2 2" xfId="7178" xr:uid="{00000000-0005-0000-0000-000046090000}"/>
    <cellStyle name="Comma 4 3 2 3 2 2 2 2" xfId="24113" xr:uid="{3176ED11-E555-4269-BB1D-24D35BABC1C4}"/>
    <cellStyle name="Comma 4 3 2 3 2 2 2 3" xfId="15672" xr:uid="{69F77899-0B50-4ECF-AA35-B609109B7D8C}"/>
    <cellStyle name="Comma 4 3 2 3 2 2 3" xfId="19895" xr:uid="{E2657F36-6F8B-4A3C-AF04-0D53DAFF190A}"/>
    <cellStyle name="Comma 4 3 2 3 2 2 4" xfId="11453" xr:uid="{D54CEE06-1B77-4627-ACBF-4CB8474F4BEB}"/>
    <cellStyle name="Comma 4 3 2 3 2 3" xfId="5033" xr:uid="{00000000-0005-0000-0000-000047090000}"/>
    <cellStyle name="Comma 4 3 2 3 2 3 2" xfId="21968" xr:uid="{8E0EA19E-C972-4538-84AC-FA5222596453}"/>
    <cellStyle name="Comma 4 3 2 3 2 3 3" xfId="13527" xr:uid="{7F3B130D-4B8A-4124-A27E-8A8F34088311}"/>
    <cellStyle name="Comma 4 3 2 3 2 4" xfId="17750" xr:uid="{99680F8F-76A9-4F64-89F8-3AF6BA52FB76}"/>
    <cellStyle name="Comma 4 3 2 3 2 5" xfId="9275" xr:uid="{5DAE15DE-C649-4729-A864-BEB1D6EADE7D}"/>
    <cellStyle name="Comma 4 3 2 3 3" xfId="1138" xr:uid="{00000000-0005-0000-0000-000048090000}"/>
    <cellStyle name="Comma 4 3 2 3 3 2" xfId="3369" xr:uid="{00000000-0005-0000-0000-000049090000}"/>
    <cellStyle name="Comma 4 3 2 3 3 2 2" xfId="7591" xr:uid="{00000000-0005-0000-0000-00004A090000}"/>
    <cellStyle name="Comma 4 3 2 3 3 2 2 2" xfId="24526" xr:uid="{7CE9259C-AE7A-4167-9C21-C52669C1F58D}"/>
    <cellStyle name="Comma 4 3 2 3 3 2 2 3" xfId="16085" xr:uid="{A2A365E1-A194-4AAB-AF9B-0F80B70987A1}"/>
    <cellStyle name="Comma 4 3 2 3 3 2 3" xfId="20308" xr:uid="{694BB875-4905-4A7E-9FBA-7D4522E4D7AE}"/>
    <cellStyle name="Comma 4 3 2 3 3 2 4" xfId="11866" xr:uid="{74339611-63A8-4AFD-9309-6453C20A722B}"/>
    <cellStyle name="Comma 4 3 2 3 3 3" xfId="5446" xr:uid="{00000000-0005-0000-0000-00004B090000}"/>
    <cellStyle name="Comma 4 3 2 3 3 3 2" xfId="22381" xr:uid="{5D45F9D4-13A4-49B7-9ABB-06A66159B457}"/>
    <cellStyle name="Comma 4 3 2 3 3 3 3" xfId="13940" xr:uid="{E700AADF-5820-49B8-9EB4-F94A215BA28D}"/>
    <cellStyle name="Comma 4 3 2 3 3 4" xfId="18163" xr:uid="{0A6E4FBE-C174-4115-B837-9806349E1396}"/>
    <cellStyle name="Comma 4 3 2 3 3 5" xfId="9689" xr:uid="{639C2D37-8317-4115-B362-B1E8B6D9B75C}"/>
    <cellStyle name="Comma 4 3 2 3 4" xfId="1552" xr:uid="{00000000-0005-0000-0000-00004C090000}"/>
    <cellStyle name="Comma 4 3 2 3 4 2" xfId="3782" xr:uid="{00000000-0005-0000-0000-00004D090000}"/>
    <cellStyle name="Comma 4 3 2 3 4 2 2" xfId="8004" xr:uid="{00000000-0005-0000-0000-00004E090000}"/>
    <cellStyle name="Comma 4 3 2 3 4 2 2 2" xfId="24939" xr:uid="{F72CE242-C71B-472F-9F36-1C66D6FB525B}"/>
    <cellStyle name="Comma 4 3 2 3 4 2 2 3" xfId="16498" xr:uid="{27575958-6E52-4C11-80EB-76F39B43093D}"/>
    <cellStyle name="Comma 4 3 2 3 4 2 3" xfId="20721" xr:uid="{CF447B8D-BECE-432D-8351-38DE592A2513}"/>
    <cellStyle name="Comma 4 3 2 3 4 2 4" xfId="12279" xr:uid="{94995113-9E9B-4106-894F-4E6C0765F809}"/>
    <cellStyle name="Comma 4 3 2 3 4 3" xfId="5859" xr:uid="{00000000-0005-0000-0000-00004F090000}"/>
    <cellStyle name="Comma 4 3 2 3 4 3 2" xfId="22794" xr:uid="{A4925F6C-6BBE-4807-AA60-011DCD54F1F4}"/>
    <cellStyle name="Comma 4 3 2 3 4 3 3" xfId="14353" xr:uid="{08FA3217-E337-4B0F-8A68-31DE00DEB930}"/>
    <cellStyle name="Comma 4 3 2 3 4 4" xfId="18576" xr:uid="{C43E3E40-F61D-4E6E-B826-44D187D3321C}"/>
    <cellStyle name="Comma 4 3 2 3 4 5" xfId="10102" xr:uid="{DE8BE3B1-4A92-4B9F-9116-56D81763E594}"/>
    <cellStyle name="Comma 4 3 2 3 5" xfId="1966" xr:uid="{00000000-0005-0000-0000-000050090000}"/>
    <cellStyle name="Comma 4 3 2 3 5 2" xfId="4195" xr:uid="{00000000-0005-0000-0000-000051090000}"/>
    <cellStyle name="Comma 4 3 2 3 5 2 2" xfId="8417" xr:uid="{00000000-0005-0000-0000-000052090000}"/>
    <cellStyle name="Comma 4 3 2 3 5 2 2 2" xfId="25352" xr:uid="{4AEAA074-7D27-4DF4-87FC-D9D86E7231E5}"/>
    <cellStyle name="Comma 4 3 2 3 5 2 2 3" xfId="16911" xr:uid="{45692E2A-B6D6-47F2-A69B-F07D3CB89361}"/>
    <cellStyle name="Comma 4 3 2 3 5 2 3" xfId="21134" xr:uid="{B55E52F7-D306-4DE4-8F02-C58C82BF905F}"/>
    <cellStyle name="Comma 4 3 2 3 5 2 4" xfId="12692" xr:uid="{7A54947B-62F8-46F2-B6BD-45FCF75F2C60}"/>
    <cellStyle name="Comma 4 3 2 3 5 3" xfId="6272" xr:uid="{00000000-0005-0000-0000-000053090000}"/>
    <cellStyle name="Comma 4 3 2 3 5 3 2" xfId="23207" xr:uid="{E9C445DA-B639-495C-87D8-5BE889C2C7B3}"/>
    <cellStyle name="Comma 4 3 2 3 5 3 3" xfId="14766" xr:uid="{6C8F932A-3D7C-426B-9150-B7C0C98D83AF}"/>
    <cellStyle name="Comma 4 3 2 3 5 4" xfId="18989" xr:uid="{E8DCC614-0AA3-4152-924B-26B58D61AA02}"/>
    <cellStyle name="Comma 4 3 2 3 5 5" xfId="10515" xr:uid="{C71486A1-1C09-44F9-B59E-6BC91E35551B}"/>
    <cellStyle name="Comma 4 3 2 3 6" xfId="2401" xr:uid="{00000000-0005-0000-0000-000054090000}"/>
    <cellStyle name="Comma 4 3 2 3 6 2" xfId="6685" xr:uid="{00000000-0005-0000-0000-000055090000}"/>
    <cellStyle name="Comma 4 3 2 3 6 2 2" xfId="23620" xr:uid="{6E1DD094-8C99-441A-97AC-F7F6FAE093D3}"/>
    <cellStyle name="Comma 4 3 2 3 6 2 3" xfId="15179" xr:uid="{43B759F5-2EBA-44FB-9994-705AC008F85B}"/>
    <cellStyle name="Comma 4 3 2 3 6 3" xfId="19402" xr:uid="{74D98682-9863-4E9B-9549-2C70B1481878}"/>
    <cellStyle name="Comma 4 3 2 3 6 4" xfId="10950" xr:uid="{C2E22FCC-41CC-4D01-979A-BB1CFB35324D}"/>
    <cellStyle name="Comma 4 3 2 3 7" xfId="2362" xr:uid="{00000000-0005-0000-0000-000056090000}"/>
    <cellStyle name="Comma 4 3 2 3 7 2" xfId="10911" xr:uid="{9D03112B-CF80-4E8D-93A3-BB6AFA83D255}"/>
    <cellStyle name="Comma 4 3 2 3 8" xfId="2779" xr:uid="{00000000-0005-0000-0000-000057090000}"/>
    <cellStyle name="Comma 4 3 2 3 8 2" xfId="7002" xr:uid="{00000000-0005-0000-0000-000058090000}"/>
    <cellStyle name="Comma 4 3 2 3 8 2 2" xfId="23937" xr:uid="{830090B5-4682-432F-B11C-AB3B92E3AC9B}"/>
    <cellStyle name="Comma 4 3 2 3 8 2 3" xfId="15496" xr:uid="{A168109B-5BA5-443E-848E-DEFEF4C109FE}"/>
    <cellStyle name="Comma 4 3 2 3 8 3" xfId="19719" xr:uid="{B8813833-E7B9-455A-96A9-CABCE82AAA29}"/>
    <cellStyle name="Comma 4 3 2 3 8 4" xfId="11277" xr:uid="{65BD6788-CA4F-458B-A0F7-09BB2BB50E73}"/>
    <cellStyle name="Comma 4 3 2 3 9" xfId="4619" xr:uid="{00000000-0005-0000-0000-000059090000}"/>
    <cellStyle name="Comma 4 3 2 3 9 2" xfId="21554" xr:uid="{2B246EA2-4775-4FEA-AD30-88DBAA28C090}"/>
    <cellStyle name="Comma 4 3 2 3 9 3" xfId="13113" xr:uid="{374BC504-E613-4DBA-9232-AC6AA9CC3CD0}"/>
    <cellStyle name="Comma 4 3 2 4" xfId="682" xr:uid="{00000000-0005-0000-0000-00005A090000}"/>
    <cellStyle name="Comma 4 3 2 4 2" xfId="2953" xr:uid="{00000000-0005-0000-0000-00005B090000}"/>
    <cellStyle name="Comma 4 3 2 4 2 2" xfId="7175" xr:uid="{00000000-0005-0000-0000-00005C090000}"/>
    <cellStyle name="Comma 4 3 2 4 2 2 2" xfId="24110" xr:uid="{A0F0FD71-4AA3-43BA-8E6E-BD60D0F7918D}"/>
    <cellStyle name="Comma 4 3 2 4 2 2 3" xfId="15669" xr:uid="{EF614A07-356C-4164-BC1D-DC5D6D6EF52B}"/>
    <cellStyle name="Comma 4 3 2 4 2 3" xfId="19892" xr:uid="{37B07D40-C8AF-47B9-A098-5A22E50D246A}"/>
    <cellStyle name="Comma 4 3 2 4 2 4" xfId="11450" xr:uid="{8FEBFD94-D99A-412B-8E7D-B5D35FD01831}"/>
    <cellStyle name="Comma 4 3 2 4 3" xfId="5030" xr:uid="{00000000-0005-0000-0000-00005D090000}"/>
    <cellStyle name="Comma 4 3 2 4 3 2" xfId="21965" xr:uid="{56E92F6F-E33E-4001-9AFA-CF1785A62E55}"/>
    <cellStyle name="Comma 4 3 2 4 3 3" xfId="13524" xr:uid="{F6462CC3-0831-418B-AF75-44ED593274A0}"/>
    <cellStyle name="Comma 4 3 2 4 4" xfId="17747" xr:uid="{6468F5F7-8DEE-4BFB-8F4F-C749ED5689A6}"/>
    <cellStyle name="Comma 4 3 2 4 5" xfId="9272" xr:uid="{EEDD365B-3DC9-46D5-8D7A-DE8052A28756}"/>
    <cellStyle name="Comma 4 3 2 5" xfId="1135" xr:uid="{00000000-0005-0000-0000-00005E090000}"/>
    <cellStyle name="Comma 4 3 2 5 2" xfId="3366" xr:uid="{00000000-0005-0000-0000-00005F090000}"/>
    <cellStyle name="Comma 4 3 2 5 2 2" xfId="7588" xr:uid="{00000000-0005-0000-0000-000060090000}"/>
    <cellStyle name="Comma 4 3 2 5 2 2 2" xfId="24523" xr:uid="{DB88C0DA-5E57-4122-99D0-43AAA7890B05}"/>
    <cellStyle name="Comma 4 3 2 5 2 2 3" xfId="16082" xr:uid="{EF8C8AFA-587A-49EE-B1FF-10B8000DCB14}"/>
    <cellStyle name="Comma 4 3 2 5 2 3" xfId="20305" xr:uid="{C222C613-6BC5-4B95-9097-99D48EFDF5B6}"/>
    <cellStyle name="Comma 4 3 2 5 2 4" xfId="11863" xr:uid="{6505437A-3585-4EDA-8083-AB7E5288FEB5}"/>
    <cellStyle name="Comma 4 3 2 5 3" xfId="5443" xr:uid="{00000000-0005-0000-0000-000061090000}"/>
    <cellStyle name="Comma 4 3 2 5 3 2" xfId="22378" xr:uid="{4E2D787D-5A6E-4E16-902B-2FC702E6D7A6}"/>
    <cellStyle name="Comma 4 3 2 5 3 3" xfId="13937" xr:uid="{569D676E-3205-4DC6-9E9B-6147E9AF96DC}"/>
    <cellStyle name="Comma 4 3 2 5 4" xfId="18160" xr:uid="{F02A0431-D5A6-444A-A067-5ED23B34058A}"/>
    <cellStyle name="Comma 4 3 2 5 5" xfId="9686" xr:uid="{00F482EF-94F4-4408-B860-C5842AEE6F86}"/>
    <cellStyle name="Comma 4 3 2 6" xfId="1549" xr:uid="{00000000-0005-0000-0000-000062090000}"/>
    <cellStyle name="Comma 4 3 2 6 2" xfId="3779" xr:uid="{00000000-0005-0000-0000-000063090000}"/>
    <cellStyle name="Comma 4 3 2 6 2 2" xfId="8001" xr:uid="{00000000-0005-0000-0000-000064090000}"/>
    <cellStyle name="Comma 4 3 2 6 2 2 2" xfId="24936" xr:uid="{B889A492-C1CF-4790-8C40-0979D4A99015}"/>
    <cellStyle name="Comma 4 3 2 6 2 2 3" xfId="16495" xr:uid="{AE2D460D-9EEE-40F1-B652-B150EBC6AB03}"/>
    <cellStyle name="Comma 4 3 2 6 2 3" xfId="20718" xr:uid="{730BF5E0-12B8-409C-97B4-932BE903EC7B}"/>
    <cellStyle name="Comma 4 3 2 6 2 4" xfId="12276" xr:uid="{C993FB20-0336-47EB-ABE4-D879409456B9}"/>
    <cellStyle name="Comma 4 3 2 6 3" xfId="5856" xr:uid="{00000000-0005-0000-0000-000065090000}"/>
    <cellStyle name="Comma 4 3 2 6 3 2" xfId="22791" xr:uid="{41AAA7EA-4B9D-404E-B0C2-F392C001A015}"/>
    <cellStyle name="Comma 4 3 2 6 3 3" xfId="14350" xr:uid="{23EEA4DE-3C7A-41B9-B330-8385A0640C3F}"/>
    <cellStyle name="Comma 4 3 2 6 4" xfId="18573" xr:uid="{B1D5A7D4-BB1B-4A9C-AC8A-454C9F444DAD}"/>
    <cellStyle name="Comma 4 3 2 6 5" xfId="10099" xr:uid="{0735D1F7-6713-48DD-8A83-1B138805C884}"/>
    <cellStyle name="Comma 4 3 2 7" xfId="1963" xr:uid="{00000000-0005-0000-0000-000066090000}"/>
    <cellStyle name="Comma 4 3 2 7 2" xfId="4192" xr:uid="{00000000-0005-0000-0000-000067090000}"/>
    <cellStyle name="Comma 4 3 2 7 2 2" xfId="8414" xr:uid="{00000000-0005-0000-0000-000068090000}"/>
    <cellStyle name="Comma 4 3 2 7 2 2 2" xfId="25349" xr:uid="{A77BED41-EBD7-4764-806A-FE32165F20DF}"/>
    <cellStyle name="Comma 4 3 2 7 2 2 3" xfId="16908" xr:uid="{A372A893-C2CB-4DBC-81E1-FFA085C56E84}"/>
    <cellStyle name="Comma 4 3 2 7 2 3" xfId="21131" xr:uid="{28D76727-DA76-47D3-B4A9-221B2C459ADD}"/>
    <cellStyle name="Comma 4 3 2 7 2 4" xfId="12689" xr:uid="{8167652D-6C5C-4C9F-AB40-38FE20155901}"/>
    <cellStyle name="Comma 4 3 2 7 3" xfId="6269" xr:uid="{00000000-0005-0000-0000-000069090000}"/>
    <cellStyle name="Comma 4 3 2 7 3 2" xfId="23204" xr:uid="{7B26F192-50DD-442E-8D4D-DA9579334B7A}"/>
    <cellStyle name="Comma 4 3 2 7 3 3" xfId="14763" xr:uid="{05763DB7-CFF3-4484-A13B-4A7DFF4DF536}"/>
    <cellStyle name="Comma 4 3 2 7 4" xfId="18986" xr:uid="{4FC125B2-C6D0-4318-B9B2-38D24653A0B2}"/>
    <cellStyle name="Comma 4 3 2 7 5" xfId="10512" xr:uid="{ADD19AB8-8503-4691-B99F-EF232BDD3D00}"/>
    <cellStyle name="Comma 4 3 2 8" xfId="2398" xr:uid="{00000000-0005-0000-0000-00006A090000}"/>
    <cellStyle name="Comma 4 3 2 8 2" xfId="6682" xr:uid="{00000000-0005-0000-0000-00006B090000}"/>
    <cellStyle name="Comma 4 3 2 8 2 2" xfId="23617" xr:uid="{D8295115-713C-451A-8D57-AD6359166994}"/>
    <cellStyle name="Comma 4 3 2 8 2 3" xfId="15176" xr:uid="{BE3E9D7B-6E48-4174-89D1-884F64FDA673}"/>
    <cellStyle name="Comma 4 3 2 8 3" xfId="19399" xr:uid="{76E1B8C9-DFB5-4AF3-9692-C1163B0BDF5A}"/>
    <cellStyle name="Comma 4 3 2 8 4" xfId="10947" xr:uid="{96B10144-AF6F-41E6-9232-0E807B0B66D9}"/>
    <cellStyle name="Comma 4 3 2 9" xfId="2365" xr:uid="{00000000-0005-0000-0000-00006C090000}"/>
    <cellStyle name="Comma 4 3 2 9 2" xfId="10914" xr:uid="{AA83F307-3B7B-40DB-B9C5-2E8C67BEFA48}"/>
    <cellStyle name="Comma 4 3 3" xfId="149" xr:uid="{00000000-0005-0000-0000-00006D090000}"/>
    <cellStyle name="Comma 4 3 3 10" xfId="4620" xr:uid="{00000000-0005-0000-0000-00006E090000}"/>
    <cellStyle name="Comma 4 3 3 10 2" xfId="21555" xr:uid="{5A8712AB-4464-4064-96ED-5718CA09B32D}"/>
    <cellStyle name="Comma 4 3 3 10 3" xfId="13114" xr:uid="{5B21F6CC-7D8B-4F88-9E7F-9530CC4654BF}"/>
    <cellStyle name="Comma 4 3 3 11" xfId="17337" xr:uid="{7847B397-5E31-4189-A289-43BD5D064C28}"/>
    <cellStyle name="Comma 4 3 3 12" xfId="8859" xr:uid="{A9329566-8426-4F64-8B72-B4E1A7A97C59}"/>
    <cellStyle name="Comma 4 3 3 2" xfId="150" xr:uid="{00000000-0005-0000-0000-00006F090000}"/>
    <cellStyle name="Comma 4 3 3 2 10" xfId="17338" xr:uid="{7988FDEE-C399-4A51-8C2E-E647D7E15CB9}"/>
    <cellStyle name="Comma 4 3 3 2 11" xfId="8860" xr:uid="{787353A5-CD2A-408A-9EDA-EED94270A9C8}"/>
    <cellStyle name="Comma 4 3 3 2 2" xfId="687" xr:uid="{00000000-0005-0000-0000-000070090000}"/>
    <cellStyle name="Comma 4 3 3 2 2 2" xfId="2958" xr:uid="{00000000-0005-0000-0000-000071090000}"/>
    <cellStyle name="Comma 4 3 3 2 2 2 2" xfId="7180" xr:uid="{00000000-0005-0000-0000-000072090000}"/>
    <cellStyle name="Comma 4 3 3 2 2 2 2 2" xfId="24115" xr:uid="{FC4ACF07-B6BD-44EE-BBC9-0807ABA7B0A0}"/>
    <cellStyle name="Comma 4 3 3 2 2 2 2 3" xfId="15674" xr:uid="{CE2FC4BC-D51F-4CFE-A35E-AC7B75AE78E3}"/>
    <cellStyle name="Comma 4 3 3 2 2 2 3" xfId="19897" xr:uid="{29AD0597-112C-4506-9CE9-2799D3A8480D}"/>
    <cellStyle name="Comma 4 3 3 2 2 2 4" xfId="11455" xr:uid="{8C52E359-CB5B-419D-B951-BA493B9B343B}"/>
    <cellStyle name="Comma 4 3 3 2 2 3" xfId="5035" xr:uid="{00000000-0005-0000-0000-000073090000}"/>
    <cellStyle name="Comma 4 3 3 2 2 3 2" xfId="21970" xr:uid="{824E96CF-BD6E-459A-B62C-1B12CFF267F1}"/>
    <cellStyle name="Comma 4 3 3 2 2 3 3" xfId="13529" xr:uid="{3808418C-94C5-48BB-9C65-41C390DEAA6C}"/>
    <cellStyle name="Comma 4 3 3 2 2 4" xfId="17752" xr:uid="{AAC2BA99-86DA-41DA-8FB1-6151465E3DE1}"/>
    <cellStyle name="Comma 4 3 3 2 2 5" xfId="9277" xr:uid="{AF312EBB-489E-4B17-B455-648750F19EA7}"/>
    <cellStyle name="Comma 4 3 3 2 3" xfId="1140" xr:uid="{00000000-0005-0000-0000-000074090000}"/>
    <cellStyle name="Comma 4 3 3 2 3 2" xfId="3371" xr:uid="{00000000-0005-0000-0000-000075090000}"/>
    <cellStyle name="Comma 4 3 3 2 3 2 2" xfId="7593" xr:uid="{00000000-0005-0000-0000-000076090000}"/>
    <cellStyle name="Comma 4 3 3 2 3 2 2 2" xfId="24528" xr:uid="{F3361DF9-F720-40AA-B5BC-16005AE346F4}"/>
    <cellStyle name="Comma 4 3 3 2 3 2 2 3" xfId="16087" xr:uid="{3C1D9991-664E-4216-B81C-19A5AC56399B}"/>
    <cellStyle name="Comma 4 3 3 2 3 2 3" xfId="20310" xr:uid="{855913E5-3AF6-4445-B747-4552B13C0E0E}"/>
    <cellStyle name="Comma 4 3 3 2 3 2 4" xfId="11868" xr:uid="{1F45CD41-2881-4E00-910B-8C4D8AB84234}"/>
    <cellStyle name="Comma 4 3 3 2 3 3" xfId="5448" xr:uid="{00000000-0005-0000-0000-000077090000}"/>
    <cellStyle name="Comma 4 3 3 2 3 3 2" xfId="22383" xr:uid="{A280821D-5318-4EDA-9DA3-097724EC484E}"/>
    <cellStyle name="Comma 4 3 3 2 3 3 3" xfId="13942" xr:uid="{68B195CA-462C-4D9A-99E7-8CA1A2834AA2}"/>
    <cellStyle name="Comma 4 3 3 2 3 4" xfId="18165" xr:uid="{BF16A737-7CEA-4B35-A165-D55B3D4F927D}"/>
    <cellStyle name="Comma 4 3 3 2 3 5" xfId="9691" xr:uid="{DBCBB104-AD9E-4E68-AAA4-96D0AFDF09EA}"/>
    <cellStyle name="Comma 4 3 3 2 4" xfId="1554" xr:uid="{00000000-0005-0000-0000-000078090000}"/>
    <cellStyle name="Comma 4 3 3 2 4 2" xfId="3784" xr:uid="{00000000-0005-0000-0000-000079090000}"/>
    <cellStyle name="Comma 4 3 3 2 4 2 2" xfId="8006" xr:uid="{00000000-0005-0000-0000-00007A090000}"/>
    <cellStyle name="Comma 4 3 3 2 4 2 2 2" xfId="24941" xr:uid="{101F94F6-4254-422A-ADEA-A3F0F9B7E302}"/>
    <cellStyle name="Comma 4 3 3 2 4 2 2 3" xfId="16500" xr:uid="{C4CBDD46-2FAF-4283-8F48-82E526DFEEC1}"/>
    <cellStyle name="Comma 4 3 3 2 4 2 3" xfId="20723" xr:uid="{CF06EB2F-32FD-45B8-BBC5-5FD8F7967BC9}"/>
    <cellStyle name="Comma 4 3 3 2 4 2 4" xfId="12281" xr:uid="{62F75758-8AD3-44BC-9C32-69A92F3A8AE0}"/>
    <cellStyle name="Comma 4 3 3 2 4 3" xfId="5861" xr:uid="{00000000-0005-0000-0000-00007B090000}"/>
    <cellStyle name="Comma 4 3 3 2 4 3 2" xfId="22796" xr:uid="{BC53E1D8-4CA9-42E6-A47F-167A4383A97B}"/>
    <cellStyle name="Comma 4 3 3 2 4 3 3" xfId="14355" xr:uid="{74CDF0B0-1BE7-4E2E-B7E9-3910AF9ECCDE}"/>
    <cellStyle name="Comma 4 3 3 2 4 4" xfId="18578" xr:uid="{18550861-E01B-4295-BC5E-CB503AAEA9D7}"/>
    <cellStyle name="Comma 4 3 3 2 4 5" xfId="10104" xr:uid="{632E8A8E-7310-489A-B2B3-5FCC7517D70D}"/>
    <cellStyle name="Comma 4 3 3 2 5" xfId="1968" xr:uid="{00000000-0005-0000-0000-00007C090000}"/>
    <cellStyle name="Comma 4 3 3 2 5 2" xfId="4197" xr:uid="{00000000-0005-0000-0000-00007D090000}"/>
    <cellStyle name="Comma 4 3 3 2 5 2 2" xfId="8419" xr:uid="{00000000-0005-0000-0000-00007E090000}"/>
    <cellStyle name="Comma 4 3 3 2 5 2 2 2" xfId="25354" xr:uid="{10F36BDC-3DDE-4507-B304-75CA8D8C4BEB}"/>
    <cellStyle name="Comma 4 3 3 2 5 2 2 3" xfId="16913" xr:uid="{3D760582-111D-4F69-A47A-2BDAAF2ABD7A}"/>
    <cellStyle name="Comma 4 3 3 2 5 2 3" xfId="21136" xr:uid="{41C3E9DD-3AC5-4B35-8828-C9CFEB3A487E}"/>
    <cellStyle name="Comma 4 3 3 2 5 2 4" xfId="12694" xr:uid="{2D8A2C1E-45CC-436E-85F0-FEB4C177C5F8}"/>
    <cellStyle name="Comma 4 3 3 2 5 3" xfId="6274" xr:uid="{00000000-0005-0000-0000-00007F090000}"/>
    <cellStyle name="Comma 4 3 3 2 5 3 2" xfId="23209" xr:uid="{41BEAD26-E5B6-4053-BD97-BE87A101CC20}"/>
    <cellStyle name="Comma 4 3 3 2 5 3 3" xfId="14768" xr:uid="{89A665CF-9AE2-48AD-944F-F98805F0903E}"/>
    <cellStyle name="Comma 4 3 3 2 5 4" xfId="18991" xr:uid="{B2DB7C0A-4655-4880-AF89-E2BDE0D3A86A}"/>
    <cellStyle name="Comma 4 3 3 2 5 5" xfId="10517" xr:uid="{7D5420BE-B385-4C57-93E4-CF69C8B01256}"/>
    <cellStyle name="Comma 4 3 3 2 6" xfId="2403" xr:uid="{00000000-0005-0000-0000-000080090000}"/>
    <cellStyle name="Comma 4 3 3 2 6 2" xfId="6687" xr:uid="{00000000-0005-0000-0000-000081090000}"/>
    <cellStyle name="Comma 4 3 3 2 6 2 2" xfId="23622" xr:uid="{534D7FEC-58BF-4481-B6EE-9324A26A88B8}"/>
    <cellStyle name="Comma 4 3 3 2 6 2 3" xfId="15181" xr:uid="{9D8C3088-241D-4764-86E9-E80AA8184DDA}"/>
    <cellStyle name="Comma 4 3 3 2 6 3" xfId="19404" xr:uid="{5B6FB7B5-A3A1-49B0-9F02-5BEA2D190952}"/>
    <cellStyle name="Comma 4 3 3 2 6 4" xfId="10952" xr:uid="{25DD238C-E13F-4115-90B6-AC8B89B90D69}"/>
    <cellStyle name="Comma 4 3 3 2 7" xfId="2360" xr:uid="{00000000-0005-0000-0000-000082090000}"/>
    <cellStyle name="Comma 4 3 3 2 7 2" xfId="10909" xr:uid="{980FE47E-98D2-4D29-AD3A-4BEABE627F81}"/>
    <cellStyle name="Comma 4 3 3 2 8" xfId="2781" xr:uid="{00000000-0005-0000-0000-000083090000}"/>
    <cellStyle name="Comma 4 3 3 2 8 2" xfId="7004" xr:uid="{00000000-0005-0000-0000-000084090000}"/>
    <cellStyle name="Comma 4 3 3 2 8 2 2" xfId="23939" xr:uid="{D1060FB7-5AFD-48F5-A315-DEDB7F096603}"/>
    <cellStyle name="Comma 4 3 3 2 8 2 3" xfId="15498" xr:uid="{36A9283C-5D5D-426C-A8BB-92217F66BC06}"/>
    <cellStyle name="Comma 4 3 3 2 8 3" xfId="19721" xr:uid="{615F35F8-EE21-4982-8252-F17A0DAFCF15}"/>
    <cellStyle name="Comma 4 3 3 2 8 4" xfId="11279" xr:uid="{5F67AB97-5EBF-4391-8870-CC705DD1C664}"/>
    <cellStyle name="Comma 4 3 3 2 9" xfId="4621" xr:uid="{00000000-0005-0000-0000-000085090000}"/>
    <cellStyle name="Comma 4 3 3 2 9 2" xfId="21556" xr:uid="{EF2F9080-F882-45B3-A6F1-A32ABE21F3CE}"/>
    <cellStyle name="Comma 4 3 3 2 9 3" xfId="13115" xr:uid="{73F5C1FA-9811-4F1D-81E9-B7D47D1A9031}"/>
    <cellStyle name="Comma 4 3 3 3" xfId="686" xr:uid="{00000000-0005-0000-0000-000086090000}"/>
    <cellStyle name="Comma 4 3 3 3 2" xfId="2957" xr:uid="{00000000-0005-0000-0000-000087090000}"/>
    <cellStyle name="Comma 4 3 3 3 2 2" xfId="7179" xr:uid="{00000000-0005-0000-0000-000088090000}"/>
    <cellStyle name="Comma 4 3 3 3 2 2 2" xfId="24114" xr:uid="{BF54AD95-D80B-45E6-8B1F-CAE7245B07BD}"/>
    <cellStyle name="Comma 4 3 3 3 2 2 3" xfId="15673" xr:uid="{FC36AFAA-DE8E-422F-BBE7-FB86A8DB2CFC}"/>
    <cellStyle name="Comma 4 3 3 3 2 3" xfId="19896" xr:uid="{A0B756E8-5322-462F-BDB3-F70DEE526304}"/>
    <cellStyle name="Comma 4 3 3 3 2 4" xfId="11454" xr:uid="{65BF21E5-F7C9-4568-A29E-6919A190834B}"/>
    <cellStyle name="Comma 4 3 3 3 3" xfId="5034" xr:uid="{00000000-0005-0000-0000-000089090000}"/>
    <cellStyle name="Comma 4 3 3 3 3 2" xfId="21969" xr:uid="{E7C8A83B-DF12-4084-926A-FD8DDB92116F}"/>
    <cellStyle name="Comma 4 3 3 3 3 3" xfId="13528" xr:uid="{31BD737B-C7CF-4E75-BF31-4B58FC8C68B5}"/>
    <cellStyle name="Comma 4 3 3 3 4" xfId="17751" xr:uid="{7A0D950F-E822-44A6-AF54-0403C6B55155}"/>
    <cellStyle name="Comma 4 3 3 3 5" xfId="9276" xr:uid="{925F1E7D-D555-4D4F-9CB2-2853AC8DA801}"/>
    <cellStyle name="Comma 4 3 3 4" xfId="1139" xr:uid="{00000000-0005-0000-0000-00008A090000}"/>
    <cellStyle name="Comma 4 3 3 4 2" xfId="3370" xr:uid="{00000000-0005-0000-0000-00008B090000}"/>
    <cellStyle name="Comma 4 3 3 4 2 2" xfId="7592" xr:uid="{00000000-0005-0000-0000-00008C090000}"/>
    <cellStyle name="Comma 4 3 3 4 2 2 2" xfId="24527" xr:uid="{90794374-28B3-4E75-AE0A-88E63E63F0C0}"/>
    <cellStyle name="Comma 4 3 3 4 2 2 3" xfId="16086" xr:uid="{B42129F5-9193-4E40-9DCF-B66529BCD415}"/>
    <cellStyle name="Comma 4 3 3 4 2 3" xfId="20309" xr:uid="{2F21A431-725E-4ED1-94FF-1A4A278DD1F7}"/>
    <cellStyle name="Comma 4 3 3 4 2 4" xfId="11867" xr:uid="{1AEE6F64-AD35-47B2-BDA7-966D1374E817}"/>
    <cellStyle name="Comma 4 3 3 4 3" xfId="5447" xr:uid="{00000000-0005-0000-0000-00008D090000}"/>
    <cellStyle name="Comma 4 3 3 4 3 2" xfId="22382" xr:uid="{30903B34-1296-4820-8C6F-EBDBC9E21C2F}"/>
    <cellStyle name="Comma 4 3 3 4 3 3" xfId="13941" xr:uid="{2BB416C6-3FD7-4DB3-8495-4A85CD3E506F}"/>
    <cellStyle name="Comma 4 3 3 4 4" xfId="18164" xr:uid="{63D04440-A268-41EB-8D25-7F5213CF1A2B}"/>
    <cellStyle name="Comma 4 3 3 4 5" xfId="9690" xr:uid="{E660E9EB-8120-4950-8C06-15AB134136D3}"/>
    <cellStyle name="Comma 4 3 3 5" xfId="1553" xr:uid="{00000000-0005-0000-0000-00008E090000}"/>
    <cellStyle name="Comma 4 3 3 5 2" xfId="3783" xr:uid="{00000000-0005-0000-0000-00008F090000}"/>
    <cellStyle name="Comma 4 3 3 5 2 2" xfId="8005" xr:uid="{00000000-0005-0000-0000-000090090000}"/>
    <cellStyle name="Comma 4 3 3 5 2 2 2" xfId="24940" xr:uid="{F01FD3A1-E446-43F7-80A9-AEA82285B8E5}"/>
    <cellStyle name="Comma 4 3 3 5 2 2 3" xfId="16499" xr:uid="{85288BB1-34F3-4E93-9574-4C7529E59923}"/>
    <cellStyle name="Comma 4 3 3 5 2 3" xfId="20722" xr:uid="{597A71CD-53D8-4B58-8E87-67AF5C5C057E}"/>
    <cellStyle name="Comma 4 3 3 5 2 4" xfId="12280" xr:uid="{72A8EB0A-8327-47CF-8AA1-89CEF34430BD}"/>
    <cellStyle name="Comma 4 3 3 5 3" xfId="5860" xr:uid="{00000000-0005-0000-0000-000091090000}"/>
    <cellStyle name="Comma 4 3 3 5 3 2" xfId="22795" xr:uid="{1D082BDE-CC28-4ED9-ACC0-0756E086E9C8}"/>
    <cellStyle name="Comma 4 3 3 5 3 3" xfId="14354" xr:uid="{9682699E-2531-46C6-9B16-76DF1DD77964}"/>
    <cellStyle name="Comma 4 3 3 5 4" xfId="18577" xr:uid="{53077A72-3FA0-4AD7-99FA-7BC5E97C8485}"/>
    <cellStyle name="Comma 4 3 3 5 5" xfId="10103" xr:uid="{8DBBC10A-6236-4602-B50E-1CCA632B0E12}"/>
    <cellStyle name="Comma 4 3 3 6" xfId="1967" xr:uid="{00000000-0005-0000-0000-000092090000}"/>
    <cellStyle name="Comma 4 3 3 6 2" xfId="4196" xr:uid="{00000000-0005-0000-0000-000093090000}"/>
    <cellStyle name="Comma 4 3 3 6 2 2" xfId="8418" xr:uid="{00000000-0005-0000-0000-000094090000}"/>
    <cellStyle name="Comma 4 3 3 6 2 2 2" xfId="25353" xr:uid="{F3147F2A-B045-49B9-8AFD-AAFCD7677B6F}"/>
    <cellStyle name="Comma 4 3 3 6 2 2 3" xfId="16912" xr:uid="{50891D3C-26BB-4154-9C56-3A82C27263F4}"/>
    <cellStyle name="Comma 4 3 3 6 2 3" xfId="21135" xr:uid="{DF69FB46-7815-4BC4-932B-E3A4CC723BDE}"/>
    <cellStyle name="Comma 4 3 3 6 2 4" xfId="12693" xr:uid="{ACD014E4-5A47-4099-BE26-8A240973D188}"/>
    <cellStyle name="Comma 4 3 3 6 3" xfId="6273" xr:uid="{00000000-0005-0000-0000-000095090000}"/>
    <cellStyle name="Comma 4 3 3 6 3 2" xfId="23208" xr:uid="{FB2CF8E7-440D-4FCE-B633-A70C944E4D15}"/>
    <cellStyle name="Comma 4 3 3 6 3 3" xfId="14767" xr:uid="{7BD382ED-7547-430B-B30A-751D1C168721}"/>
    <cellStyle name="Comma 4 3 3 6 4" xfId="18990" xr:uid="{209AC643-CD34-46CF-A7BD-316AEEAE128D}"/>
    <cellStyle name="Comma 4 3 3 6 5" xfId="10516" xr:uid="{8C97F24C-1A73-4DB5-8854-6EE06F8053C5}"/>
    <cellStyle name="Comma 4 3 3 7" xfId="2402" xr:uid="{00000000-0005-0000-0000-000096090000}"/>
    <cellStyle name="Comma 4 3 3 7 2" xfId="6686" xr:uid="{00000000-0005-0000-0000-000097090000}"/>
    <cellStyle name="Comma 4 3 3 7 2 2" xfId="23621" xr:uid="{CAB046DC-853F-4DE1-BCD3-B4EE6247B54E}"/>
    <cellStyle name="Comma 4 3 3 7 2 3" xfId="15180" xr:uid="{95AB1EE5-3E4D-4E93-9995-422F3DE71B3D}"/>
    <cellStyle name="Comma 4 3 3 7 3" xfId="19403" xr:uid="{71CF5790-96C4-4138-AE6B-06CD6E7BF819}"/>
    <cellStyle name="Comma 4 3 3 7 4" xfId="10951" xr:uid="{0F113799-2634-4218-8D39-7D184FB2EF5A}"/>
    <cellStyle name="Comma 4 3 3 8" xfId="2361" xr:uid="{00000000-0005-0000-0000-000098090000}"/>
    <cellStyle name="Comma 4 3 3 8 2" xfId="10910" xr:uid="{B4BFC427-BBE1-4450-8AF1-C1C5F36C5B01}"/>
    <cellStyle name="Comma 4 3 3 9" xfId="2780" xr:uid="{00000000-0005-0000-0000-000099090000}"/>
    <cellStyle name="Comma 4 3 3 9 2" xfId="7003" xr:uid="{00000000-0005-0000-0000-00009A090000}"/>
    <cellStyle name="Comma 4 3 3 9 2 2" xfId="23938" xr:uid="{017070D2-87E7-4012-BC5B-C47A06792112}"/>
    <cellStyle name="Comma 4 3 3 9 2 3" xfId="15497" xr:uid="{AB2D7587-16BB-4A95-A025-BFFBEB4D3838}"/>
    <cellStyle name="Comma 4 3 3 9 3" xfId="19720" xr:uid="{ED967050-D38F-4991-A36D-03B827CC4DCB}"/>
    <cellStyle name="Comma 4 3 3 9 4" xfId="11278" xr:uid="{24C6D17E-4AAC-4451-B6AB-4093C18A2EF5}"/>
    <cellStyle name="Comma 4 3 4" xfId="151" xr:uid="{00000000-0005-0000-0000-00009B090000}"/>
    <cellStyle name="Comma 4 3 4 10" xfId="17339" xr:uid="{BE4851EF-2CC7-4504-A66D-A03C42010AAD}"/>
    <cellStyle name="Comma 4 3 4 11" xfId="8861" xr:uid="{1BE734F4-F5A5-4F0E-AE7C-C17710F7B479}"/>
    <cellStyle name="Comma 4 3 4 2" xfId="688" xr:uid="{00000000-0005-0000-0000-00009C090000}"/>
    <cellStyle name="Comma 4 3 4 2 2" xfId="2959" xr:uid="{00000000-0005-0000-0000-00009D090000}"/>
    <cellStyle name="Comma 4 3 4 2 2 2" xfId="7181" xr:uid="{00000000-0005-0000-0000-00009E090000}"/>
    <cellStyle name="Comma 4 3 4 2 2 2 2" xfId="24116" xr:uid="{0748DFB7-23FA-445C-B188-428C9943705B}"/>
    <cellStyle name="Comma 4 3 4 2 2 2 3" xfId="15675" xr:uid="{8B95E49E-8120-430B-AD6F-127642253905}"/>
    <cellStyle name="Comma 4 3 4 2 2 3" xfId="19898" xr:uid="{982D34E9-E9DB-420A-A89D-D294FB000564}"/>
    <cellStyle name="Comma 4 3 4 2 2 4" xfId="11456" xr:uid="{EED710DF-5FB8-4408-B585-44A4AB13AA61}"/>
    <cellStyle name="Comma 4 3 4 2 3" xfId="5036" xr:uid="{00000000-0005-0000-0000-00009F090000}"/>
    <cellStyle name="Comma 4 3 4 2 3 2" xfId="21971" xr:uid="{D145EF37-F1E0-4789-BF82-F0E9D96DB2E6}"/>
    <cellStyle name="Comma 4 3 4 2 3 3" xfId="13530" xr:uid="{0182646C-19FF-4270-AD0B-235234F07A40}"/>
    <cellStyle name="Comma 4 3 4 2 4" xfId="17753" xr:uid="{6C80BD36-9989-4709-840D-A94405E8C4A4}"/>
    <cellStyle name="Comma 4 3 4 2 5" xfId="9278" xr:uid="{03DFE19D-5614-4F15-962A-0AF2EC15DDEF}"/>
    <cellStyle name="Comma 4 3 4 3" xfId="1141" xr:uid="{00000000-0005-0000-0000-0000A0090000}"/>
    <cellStyle name="Comma 4 3 4 3 2" xfId="3372" xr:uid="{00000000-0005-0000-0000-0000A1090000}"/>
    <cellStyle name="Comma 4 3 4 3 2 2" xfId="7594" xr:uid="{00000000-0005-0000-0000-0000A2090000}"/>
    <cellStyle name="Comma 4 3 4 3 2 2 2" xfId="24529" xr:uid="{BF22D50D-7BC1-4781-8CEC-AC8508D6683D}"/>
    <cellStyle name="Comma 4 3 4 3 2 2 3" xfId="16088" xr:uid="{953177AA-A22A-49DF-9A04-45E0D92DA225}"/>
    <cellStyle name="Comma 4 3 4 3 2 3" xfId="20311" xr:uid="{EB26748D-C2E2-4A9F-B9D9-E442E3E095C8}"/>
    <cellStyle name="Comma 4 3 4 3 2 4" xfId="11869" xr:uid="{E0A1B13D-7913-4AA3-8A6B-3852265A8660}"/>
    <cellStyle name="Comma 4 3 4 3 3" xfId="5449" xr:uid="{00000000-0005-0000-0000-0000A3090000}"/>
    <cellStyle name="Comma 4 3 4 3 3 2" xfId="22384" xr:uid="{BCC7729D-6B28-4A9D-AFB1-3181A461C66E}"/>
    <cellStyle name="Comma 4 3 4 3 3 3" xfId="13943" xr:uid="{8B90593D-46C3-4599-95AD-8BD64AAF4D69}"/>
    <cellStyle name="Comma 4 3 4 3 4" xfId="18166" xr:uid="{50377E98-4971-46EA-8F10-E4AAC87F59A0}"/>
    <cellStyle name="Comma 4 3 4 3 5" xfId="9692" xr:uid="{986C2A1C-071F-4484-9A36-02E62747B17F}"/>
    <cellStyle name="Comma 4 3 4 4" xfId="1555" xr:uid="{00000000-0005-0000-0000-0000A4090000}"/>
    <cellStyle name="Comma 4 3 4 4 2" xfId="3785" xr:uid="{00000000-0005-0000-0000-0000A5090000}"/>
    <cellStyle name="Comma 4 3 4 4 2 2" xfId="8007" xr:uid="{00000000-0005-0000-0000-0000A6090000}"/>
    <cellStyle name="Comma 4 3 4 4 2 2 2" xfId="24942" xr:uid="{95640EF0-A94A-4ADC-B669-0C2BFA206A43}"/>
    <cellStyle name="Comma 4 3 4 4 2 2 3" xfId="16501" xr:uid="{D7CF92B8-27F9-4B10-B67F-26CF7D6F9398}"/>
    <cellStyle name="Comma 4 3 4 4 2 3" xfId="20724" xr:uid="{FAC03538-8ABC-4A26-8DB6-873A24DA4D9B}"/>
    <cellStyle name="Comma 4 3 4 4 2 4" xfId="12282" xr:uid="{4E76660D-FDC1-4F92-9B44-6A3F5793F288}"/>
    <cellStyle name="Comma 4 3 4 4 3" xfId="5862" xr:uid="{00000000-0005-0000-0000-0000A7090000}"/>
    <cellStyle name="Comma 4 3 4 4 3 2" xfId="22797" xr:uid="{E144D6B9-38B3-42FD-881F-C5B84A0967BD}"/>
    <cellStyle name="Comma 4 3 4 4 3 3" xfId="14356" xr:uid="{E1D5FC23-7BE0-4500-8C00-33CF1EDFDB36}"/>
    <cellStyle name="Comma 4 3 4 4 4" xfId="18579" xr:uid="{3B6863D4-8700-437C-87D0-72858D1E083E}"/>
    <cellStyle name="Comma 4 3 4 4 5" xfId="10105" xr:uid="{A43AE907-B758-4C8D-A341-F0671FC0F259}"/>
    <cellStyle name="Comma 4 3 4 5" xfId="1969" xr:uid="{00000000-0005-0000-0000-0000A8090000}"/>
    <cellStyle name="Comma 4 3 4 5 2" xfId="4198" xr:uid="{00000000-0005-0000-0000-0000A9090000}"/>
    <cellStyle name="Comma 4 3 4 5 2 2" xfId="8420" xr:uid="{00000000-0005-0000-0000-0000AA090000}"/>
    <cellStyle name="Comma 4 3 4 5 2 2 2" xfId="25355" xr:uid="{A6634167-E488-40F1-AE3F-6BBBA15212D4}"/>
    <cellStyle name="Comma 4 3 4 5 2 2 3" xfId="16914" xr:uid="{1224FB34-4C7B-4A07-991B-C55BD2939906}"/>
    <cellStyle name="Comma 4 3 4 5 2 3" xfId="21137" xr:uid="{89FD93BB-0426-43D5-916C-C9EEBDDA7AAA}"/>
    <cellStyle name="Comma 4 3 4 5 2 4" xfId="12695" xr:uid="{70A3F426-685A-453F-AB35-BB8C0A80A6B7}"/>
    <cellStyle name="Comma 4 3 4 5 3" xfId="6275" xr:uid="{00000000-0005-0000-0000-0000AB090000}"/>
    <cellStyle name="Comma 4 3 4 5 3 2" xfId="23210" xr:uid="{9B74FC7D-A717-42B8-8EAF-F7AD6BB20602}"/>
    <cellStyle name="Comma 4 3 4 5 3 3" xfId="14769" xr:uid="{351BAEA3-61E5-4714-85F9-A6887BF5698C}"/>
    <cellStyle name="Comma 4 3 4 5 4" xfId="18992" xr:uid="{533CAE89-904F-4DD2-8755-AE8ECBB6D2AA}"/>
    <cellStyle name="Comma 4 3 4 5 5" xfId="10518" xr:uid="{D731861C-D4A1-47F6-AE14-C80671E1EB35}"/>
    <cellStyle name="Comma 4 3 4 6" xfId="2404" xr:uid="{00000000-0005-0000-0000-0000AC090000}"/>
    <cellStyle name="Comma 4 3 4 6 2" xfId="6688" xr:uid="{00000000-0005-0000-0000-0000AD090000}"/>
    <cellStyle name="Comma 4 3 4 6 2 2" xfId="23623" xr:uid="{8593B9F2-C3A1-4B36-AEBC-B14A366CA743}"/>
    <cellStyle name="Comma 4 3 4 6 2 3" xfId="15182" xr:uid="{2565F447-51DF-4091-A67D-07FE85CA6E60}"/>
    <cellStyle name="Comma 4 3 4 6 3" xfId="19405" xr:uid="{6338ED09-99B5-4429-8207-A9FAFF2334BD}"/>
    <cellStyle name="Comma 4 3 4 6 4" xfId="10953" xr:uid="{19C5ED99-5C38-4645-98AA-4475E619C7E3}"/>
    <cellStyle name="Comma 4 3 4 7" xfId="2700" xr:uid="{00000000-0005-0000-0000-0000AE090000}"/>
    <cellStyle name="Comma 4 3 4 7 2" xfId="11248" xr:uid="{530D2E5D-F161-4392-977C-7B13E294EC05}"/>
    <cellStyle name="Comma 4 3 4 8" xfId="2782" xr:uid="{00000000-0005-0000-0000-0000AF090000}"/>
    <cellStyle name="Comma 4 3 4 8 2" xfId="7005" xr:uid="{00000000-0005-0000-0000-0000B0090000}"/>
    <cellStyle name="Comma 4 3 4 8 2 2" xfId="23940" xr:uid="{8B215337-3971-47FD-B3C0-312C388016DE}"/>
    <cellStyle name="Comma 4 3 4 8 2 3" xfId="15499" xr:uid="{3AB411D2-1D8B-482A-835D-B6A2F4C54956}"/>
    <cellStyle name="Comma 4 3 4 8 3" xfId="19722" xr:uid="{31268DF6-C4E9-4D44-AA7A-6B9E3F0BB92E}"/>
    <cellStyle name="Comma 4 3 4 8 4" xfId="11280" xr:uid="{61409594-1762-4916-B49D-72A8C95F9EBF}"/>
    <cellStyle name="Comma 4 3 4 9" xfId="4622" xr:uid="{00000000-0005-0000-0000-0000B1090000}"/>
    <cellStyle name="Comma 4 3 4 9 2" xfId="21557" xr:uid="{1986D042-643D-457D-B236-852680F86BB0}"/>
    <cellStyle name="Comma 4 3 4 9 3" xfId="13116" xr:uid="{973CDC37-C56B-4194-B3AD-748CEED9520A}"/>
    <cellStyle name="Comma 4 3 5" xfId="152" xr:uid="{00000000-0005-0000-0000-0000B2090000}"/>
    <cellStyle name="Comma 4 3 5 10" xfId="17340" xr:uid="{EA242D86-BC02-4421-B646-106AFD52575D}"/>
    <cellStyle name="Comma 4 3 5 11" xfId="8862" xr:uid="{F8594536-F5EF-491C-BB24-CB1A2046E4E2}"/>
    <cellStyle name="Comma 4 3 5 2" xfId="689" xr:uid="{00000000-0005-0000-0000-0000B3090000}"/>
    <cellStyle name="Comma 4 3 5 2 2" xfId="2960" xr:uid="{00000000-0005-0000-0000-0000B4090000}"/>
    <cellStyle name="Comma 4 3 5 2 2 2" xfId="7182" xr:uid="{00000000-0005-0000-0000-0000B5090000}"/>
    <cellStyle name="Comma 4 3 5 2 2 2 2" xfId="24117" xr:uid="{72EE17DD-C818-4F1F-8B47-370FB3495990}"/>
    <cellStyle name="Comma 4 3 5 2 2 2 3" xfId="15676" xr:uid="{567495AB-A257-4255-8D9C-BA3C0E3C781E}"/>
    <cellStyle name="Comma 4 3 5 2 2 3" xfId="19899" xr:uid="{BC9D6365-8CAB-48C0-9DF9-F2BA0083FA11}"/>
    <cellStyle name="Comma 4 3 5 2 2 4" xfId="11457" xr:uid="{C3D3CC13-6AA1-4D13-B444-7155929FDB8C}"/>
    <cellStyle name="Comma 4 3 5 2 3" xfId="5037" xr:uid="{00000000-0005-0000-0000-0000B6090000}"/>
    <cellStyle name="Comma 4 3 5 2 3 2" xfId="21972" xr:uid="{0E000790-EE5A-41F7-9303-86C21F994736}"/>
    <cellStyle name="Comma 4 3 5 2 3 3" xfId="13531" xr:uid="{50328D56-CEB5-4412-8740-F8644F194550}"/>
    <cellStyle name="Comma 4 3 5 2 4" xfId="17754" xr:uid="{121E355A-9C7D-42F6-A3B9-4EA75435F674}"/>
    <cellStyle name="Comma 4 3 5 2 5" xfId="9279" xr:uid="{F5AA3416-89A6-47F5-8F5B-63EC4ECCEC10}"/>
    <cellStyle name="Comma 4 3 5 3" xfId="1142" xr:uid="{00000000-0005-0000-0000-0000B7090000}"/>
    <cellStyle name="Comma 4 3 5 3 2" xfId="3373" xr:uid="{00000000-0005-0000-0000-0000B8090000}"/>
    <cellStyle name="Comma 4 3 5 3 2 2" xfId="7595" xr:uid="{00000000-0005-0000-0000-0000B9090000}"/>
    <cellStyle name="Comma 4 3 5 3 2 2 2" xfId="24530" xr:uid="{96A3AE46-3A8A-442E-BDB1-27D42A6889A1}"/>
    <cellStyle name="Comma 4 3 5 3 2 2 3" xfId="16089" xr:uid="{2F563173-8C1C-4FC2-A64C-571C3964B433}"/>
    <cellStyle name="Comma 4 3 5 3 2 3" xfId="20312" xr:uid="{E5141242-DBCA-4599-A111-0F8C740EBDEF}"/>
    <cellStyle name="Comma 4 3 5 3 2 4" xfId="11870" xr:uid="{2C9BB6C6-C137-44C0-99A4-DE03EFF94977}"/>
    <cellStyle name="Comma 4 3 5 3 3" xfId="5450" xr:uid="{00000000-0005-0000-0000-0000BA090000}"/>
    <cellStyle name="Comma 4 3 5 3 3 2" xfId="22385" xr:uid="{533A46E9-6608-4FA6-8D56-0EE3E0A99438}"/>
    <cellStyle name="Comma 4 3 5 3 3 3" xfId="13944" xr:uid="{9CFB04F8-F7E1-4DAB-97C2-D6B26773E194}"/>
    <cellStyle name="Comma 4 3 5 3 4" xfId="18167" xr:uid="{0679CD5E-93AB-45A9-B6F5-229EC20C8353}"/>
    <cellStyle name="Comma 4 3 5 3 5" xfId="9693" xr:uid="{E3705E56-31D5-41A0-917B-E202BF80E103}"/>
    <cellStyle name="Comma 4 3 5 4" xfId="1556" xr:uid="{00000000-0005-0000-0000-0000BB090000}"/>
    <cellStyle name="Comma 4 3 5 4 2" xfId="3786" xr:uid="{00000000-0005-0000-0000-0000BC090000}"/>
    <cellStyle name="Comma 4 3 5 4 2 2" xfId="8008" xr:uid="{00000000-0005-0000-0000-0000BD090000}"/>
    <cellStyle name="Comma 4 3 5 4 2 2 2" xfId="24943" xr:uid="{870DC7A5-33AF-402D-BD5E-02B78C9A57A0}"/>
    <cellStyle name="Comma 4 3 5 4 2 2 3" xfId="16502" xr:uid="{373818E8-D2BD-4081-AE86-F1A30FA6DAA3}"/>
    <cellStyle name="Comma 4 3 5 4 2 3" xfId="20725" xr:uid="{96E4D897-C57E-4FDF-8B41-C49CC57C02C1}"/>
    <cellStyle name="Comma 4 3 5 4 2 4" xfId="12283" xr:uid="{A6CCD528-6118-433F-9B7A-C7C78F019FFF}"/>
    <cellStyle name="Comma 4 3 5 4 3" xfId="5863" xr:uid="{00000000-0005-0000-0000-0000BE090000}"/>
    <cellStyle name="Comma 4 3 5 4 3 2" xfId="22798" xr:uid="{6829C58A-5797-4A21-8875-E363A9F76C8E}"/>
    <cellStyle name="Comma 4 3 5 4 3 3" xfId="14357" xr:uid="{69288D9A-409F-4DAD-89AB-4F4F8AF01653}"/>
    <cellStyle name="Comma 4 3 5 4 4" xfId="18580" xr:uid="{B0DF1B90-9DFA-41AB-89D3-920CF72A62E5}"/>
    <cellStyle name="Comma 4 3 5 4 5" xfId="10106" xr:uid="{8E69C870-C0C8-4F1B-AEC3-85D65A3FBD28}"/>
    <cellStyle name="Comma 4 3 5 5" xfId="1970" xr:uid="{00000000-0005-0000-0000-0000BF090000}"/>
    <cellStyle name="Comma 4 3 5 5 2" xfId="4199" xr:uid="{00000000-0005-0000-0000-0000C0090000}"/>
    <cellStyle name="Comma 4 3 5 5 2 2" xfId="8421" xr:uid="{00000000-0005-0000-0000-0000C1090000}"/>
    <cellStyle name="Comma 4 3 5 5 2 2 2" xfId="25356" xr:uid="{E15511BB-ABF1-400B-A044-85CC06B15D92}"/>
    <cellStyle name="Comma 4 3 5 5 2 2 3" xfId="16915" xr:uid="{DB3B053B-E9B4-4041-8D89-9F3EC6474EBB}"/>
    <cellStyle name="Comma 4 3 5 5 2 3" xfId="21138" xr:uid="{F354AD95-8958-40FF-9B5A-416FD0003635}"/>
    <cellStyle name="Comma 4 3 5 5 2 4" xfId="12696" xr:uid="{AE3CCB66-7E26-43B8-BC76-6B9BB5B1AAEA}"/>
    <cellStyle name="Comma 4 3 5 5 3" xfId="6276" xr:uid="{00000000-0005-0000-0000-0000C2090000}"/>
    <cellStyle name="Comma 4 3 5 5 3 2" xfId="23211" xr:uid="{D63FDDAB-6441-4F8F-AE91-AD5336762468}"/>
    <cellStyle name="Comma 4 3 5 5 3 3" xfId="14770" xr:uid="{673C6392-167B-4DBD-8F85-7550655A9E77}"/>
    <cellStyle name="Comma 4 3 5 5 4" xfId="18993" xr:uid="{30E8E7FC-D49A-46DC-830A-3C3EE863426F}"/>
    <cellStyle name="Comma 4 3 5 5 5" xfId="10519" xr:uid="{30E8FF2A-0DD0-487D-9F16-7D82805DA32A}"/>
    <cellStyle name="Comma 4 3 5 6" xfId="2405" xr:uid="{00000000-0005-0000-0000-0000C3090000}"/>
    <cellStyle name="Comma 4 3 5 6 2" xfId="6689" xr:uid="{00000000-0005-0000-0000-0000C4090000}"/>
    <cellStyle name="Comma 4 3 5 6 2 2" xfId="23624" xr:uid="{5A010917-A444-4725-BE7D-21AE4C19DDC3}"/>
    <cellStyle name="Comma 4 3 5 6 2 3" xfId="15183" xr:uid="{DFDB4C98-94EF-44A5-B98D-949A13EEBCA3}"/>
    <cellStyle name="Comma 4 3 5 6 3" xfId="19406" xr:uid="{3C04BE44-DDD6-4418-887E-3010B5D281B3}"/>
    <cellStyle name="Comma 4 3 5 6 4" xfId="10954" xr:uid="{69A2035E-F255-4FE6-BAB7-9910633FBC08}"/>
    <cellStyle name="Comma 4 3 5 7" xfId="2701" xr:uid="{00000000-0005-0000-0000-0000C5090000}"/>
    <cellStyle name="Comma 4 3 5 7 2" xfId="11249" xr:uid="{3D02E517-9421-451E-9A1A-907D99B480B3}"/>
    <cellStyle name="Comma 4 3 5 8" xfId="2783" xr:uid="{00000000-0005-0000-0000-0000C6090000}"/>
    <cellStyle name="Comma 4 3 5 8 2" xfId="7006" xr:uid="{00000000-0005-0000-0000-0000C7090000}"/>
    <cellStyle name="Comma 4 3 5 8 2 2" xfId="23941" xr:uid="{0B204D03-D5B4-4355-881A-EE6901E69607}"/>
    <cellStyle name="Comma 4 3 5 8 2 3" xfId="15500" xr:uid="{083C2A8A-1C10-4819-AB07-DF5A8AFCDA26}"/>
    <cellStyle name="Comma 4 3 5 8 3" xfId="19723" xr:uid="{9076D79E-6858-4FEA-A921-C5B2A522356B}"/>
    <cellStyle name="Comma 4 3 5 8 4" xfId="11281" xr:uid="{F9316C77-7E6E-4A72-8EA8-B1DD210213C0}"/>
    <cellStyle name="Comma 4 3 5 9" xfId="4623" xr:uid="{00000000-0005-0000-0000-0000C8090000}"/>
    <cellStyle name="Comma 4 3 5 9 2" xfId="21558" xr:uid="{C26C69BC-7F5A-4348-9A30-6E90C8823FD1}"/>
    <cellStyle name="Comma 4 3 5 9 3" xfId="13117" xr:uid="{B7549E16-364C-498C-93D3-1318320FA07F}"/>
    <cellStyle name="Comma 4 3 6" xfId="8854" xr:uid="{57C53DDF-388C-4A27-968A-04BFD201D0C6}"/>
    <cellStyle name="Comma 4 4" xfId="153" xr:uid="{00000000-0005-0000-0000-0000C9090000}"/>
    <cellStyle name="Comma 4 4 10" xfId="2784" xr:uid="{00000000-0005-0000-0000-0000CA090000}"/>
    <cellStyle name="Comma 4 4 10 2" xfId="7007" xr:uid="{00000000-0005-0000-0000-0000CB090000}"/>
    <cellStyle name="Comma 4 4 10 2 2" xfId="23942" xr:uid="{DF29F0F3-FDEC-4D29-B15D-189EEF0D70F3}"/>
    <cellStyle name="Comma 4 4 10 2 3" xfId="15501" xr:uid="{DE724A66-E84C-4C8E-AA22-F140984A0499}"/>
    <cellStyle name="Comma 4 4 10 3" xfId="19724" xr:uid="{AE3BA4F0-EB0D-4C11-B472-FCFE2354EF5F}"/>
    <cellStyle name="Comma 4 4 10 4" xfId="11282" xr:uid="{5710F934-F6DE-47D0-A7A9-D2D0777F7C05}"/>
    <cellStyle name="Comma 4 4 11" xfId="4624" xr:uid="{00000000-0005-0000-0000-0000CC090000}"/>
    <cellStyle name="Comma 4 4 11 2" xfId="21559" xr:uid="{3A284DB2-D4BB-410E-96E9-BF0687C7880F}"/>
    <cellStyle name="Comma 4 4 11 3" xfId="13118" xr:uid="{8480BAEF-1D8E-46EA-ADA0-19BF4A01D479}"/>
    <cellStyle name="Comma 4 4 12" xfId="17341" xr:uid="{6377E205-5BD9-45B2-BDA7-590652DA4D6E}"/>
    <cellStyle name="Comma 4 4 13" xfId="8863" xr:uid="{438D6E6A-0812-4B3E-8BE8-6DA2FD1E4E5B}"/>
    <cellStyle name="Comma 4 4 2" xfId="154" xr:uid="{00000000-0005-0000-0000-0000CD090000}"/>
    <cellStyle name="Comma 4 4 2 10" xfId="4625" xr:uid="{00000000-0005-0000-0000-0000CE090000}"/>
    <cellStyle name="Comma 4 4 2 10 2" xfId="21560" xr:uid="{BB37A417-AD57-4D94-B346-55ABC07E84AF}"/>
    <cellStyle name="Comma 4 4 2 10 3" xfId="13119" xr:uid="{459A9679-8012-44E7-9DD7-D85EE55F42C9}"/>
    <cellStyle name="Comma 4 4 2 11" xfId="17342" xr:uid="{A0A6F19A-673D-408B-90BD-A36D633BED7E}"/>
    <cellStyle name="Comma 4 4 2 12" xfId="8864" xr:uid="{27FF990E-2F9E-4A0D-9E1F-0BDACCFCF387}"/>
    <cellStyle name="Comma 4 4 2 2" xfId="155" xr:uid="{00000000-0005-0000-0000-0000CF090000}"/>
    <cellStyle name="Comma 4 4 2 2 10" xfId="17343" xr:uid="{D804E4EA-54FD-4E69-A938-EF0844057FA4}"/>
    <cellStyle name="Comma 4 4 2 2 11" xfId="8865" xr:uid="{B64EE615-5795-4A02-9EE9-DCBC0DE046F4}"/>
    <cellStyle name="Comma 4 4 2 2 2" xfId="692" xr:uid="{00000000-0005-0000-0000-0000D0090000}"/>
    <cellStyle name="Comma 4 4 2 2 2 2" xfId="2963" xr:uid="{00000000-0005-0000-0000-0000D1090000}"/>
    <cellStyle name="Comma 4 4 2 2 2 2 2" xfId="7185" xr:uid="{00000000-0005-0000-0000-0000D2090000}"/>
    <cellStyle name="Comma 4 4 2 2 2 2 2 2" xfId="24120" xr:uid="{1F95F2DF-384B-47A4-8E9C-AD71153B4DEF}"/>
    <cellStyle name="Comma 4 4 2 2 2 2 2 3" xfId="15679" xr:uid="{F3B36831-D4EE-4E08-92F4-9A6C00EF602B}"/>
    <cellStyle name="Comma 4 4 2 2 2 2 3" xfId="19902" xr:uid="{E12D81AC-AE9A-4F2E-9D93-F548C44B17C0}"/>
    <cellStyle name="Comma 4 4 2 2 2 2 4" xfId="11460" xr:uid="{18EABDDD-9885-4F83-8508-7E087E9BBB3D}"/>
    <cellStyle name="Comma 4 4 2 2 2 3" xfId="5040" xr:uid="{00000000-0005-0000-0000-0000D3090000}"/>
    <cellStyle name="Comma 4 4 2 2 2 3 2" xfId="21975" xr:uid="{A43C86B2-F762-4727-92C2-FCC6502CF358}"/>
    <cellStyle name="Comma 4 4 2 2 2 3 3" xfId="13534" xr:uid="{B3A00599-E454-4523-8763-2A2BA889E8B5}"/>
    <cellStyle name="Comma 4 4 2 2 2 4" xfId="17757" xr:uid="{34B70BA0-8B90-4185-97EE-A4A7E0FB0979}"/>
    <cellStyle name="Comma 4 4 2 2 2 5" xfId="9282" xr:uid="{734F7012-D6CF-484D-8DE6-5E074606CDAD}"/>
    <cellStyle name="Comma 4 4 2 2 3" xfId="1145" xr:uid="{00000000-0005-0000-0000-0000D4090000}"/>
    <cellStyle name="Comma 4 4 2 2 3 2" xfId="3376" xr:uid="{00000000-0005-0000-0000-0000D5090000}"/>
    <cellStyle name="Comma 4 4 2 2 3 2 2" xfId="7598" xr:uid="{00000000-0005-0000-0000-0000D6090000}"/>
    <cellStyle name="Comma 4 4 2 2 3 2 2 2" xfId="24533" xr:uid="{D09B3B1C-01A1-48B1-BF33-E3DEAFF6AADC}"/>
    <cellStyle name="Comma 4 4 2 2 3 2 2 3" xfId="16092" xr:uid="{F3526BC2-D4B9-4960-A286-876D88CF5036}"/>
    <cellStyle name="Comma 4 4 2 2 3 2 3" xfId="20315" xr:uid="{90C35885-72E6-4697-B8E7-F2704826DB42}"/>
    <cellStyle name="Comma 4 4 2 2 3 2 4" xfId="11873" xr:uid="{8E46B5EA-9329-431C-8B41-5C163AA55B88}"/>
    <cellStyle name="Comma 4 4 2 2 3 3" xfId="5453" xr:uid="{00000000-0005-0000-0000-0000D7090000}"/>
    <cellStyle name="Comma 4 4 2 2 3 3 2" xfId="22388" xr:uid="{298AD116-78E5-4E25-8A27-BA6013A1D557}"/>
    <cellStyle name="Comma 4 4 2 2 3 3 3" xfId="13947" xr:uid="{DFC36054-DA27-443A-8D71-FD0AD60A2DB7}"/>
    <cellStyle name="Comma 4 4 2 2 3 4" xfId="18170" xr:uid="{4499D60E-2C09-4BA0-A925-CB181D303C39}"/>
    <cellStyle name="Comma 4 4 2 2 3 5" xfId="9696" xr:uid="{58C01735-1E10-4B93-933B-0E878DD82816}"/>
    <cellStyle name="Comma 4 4 2 2 4" xfId="1559" xr:uid="{00000000-0005-0000-0000-0000D8090000}"/>
    <cellStyle name="Comma 4 4 2 2 4 2" xfId="3789" xr:uid="{00000000-0005-0000-0000-0000D9090000}"/>
    <cellStyle name="Comma 4 4 2 2 4 2 2" xfId="8011" xr:uid="{00000000-0005-0000-0000-0000DA090000}"/>
    <cellStyle name="Comma 4 4 2 2 4 2 2 2" xfId="24946" xr:uid="{E9798E5A-54D5-4932-A349-B86D392191B2}"/>
    <cellStyle name="Comma 4 4 2 2 4 2 2 3" xfId="16505" xr:uid="{5977EF4A-83CD-43C7-9783-73362A14D10C}"/>
    <cellStyle name="Comma 4 4 2 2 4 2 3" xfId="20728" xr:uid="{A6A54864-BD03-4F20-9B2E-C02B7B16095C}"/>
    <cellStyle name="Comma 4 4 2 2 4 2 4" xfId="12286" xr:uid="{550777A1-1C67-42E6-BBF7-CA6D8BAB9A51}"/>
    <cellStyle name="Comma 4 4 2 2 4 3" xfId="5866" xr:uid="{00000000-0005-0000-0000-0000DB090000}"/>
    <cellStyle name="Comma 4 4 2 2 4 3 2" xfId="22801" xr:uid="{CE95C847-E1B3-4586-9852-0494C206CA8D}"/>
    <cellStyle name="Comma 4 4 2 2 4 3 3" xfId="14360" xr:uid="{0C83AEC6-B984-4BFE-BF7D-AF18A96EA749}"/>
    <cellStyle name="Comma 4 4 2 2 4 4" xfId="18583" xr:uid="{98D243FA-A167-4A8D-8E8F-98243DBD5669}"/>
    <cellStyle name="Comma 4 4 2 2 4 5" xfId="10109" xr:uid="{8537E426-A07A-4BE9-8675-1413BD6FAEAF}"/>
    <cellStyle name="Comma 4 4 2 2 5" xfId="1973" xr:uid="{00000000-0005-0000-0000-0000DC090000}"/>
    <cellStyle name="Comma 4 4 2 2 5 2" xfId="4202" xr:uid="{00000000-0005-0000-0000-0000DD090000}"/>
    <cellStyle name="Comma 4 4 2 2 5 2 2" xfId="8424" xr:uid="{00000000-0005-0000-0000-0000DE090000}"/>
    <cellStyle name="Comma 4 4 2 2 5 2 2 2" xfId="25359" xr:uid="{146B2D05-D95D-447B-9902-997CB34B66C1}"/>
    <cellStyle name="Comma 4 4 2 2 5 2 2 3" xfId="16918" xr:uid="{57816F02-7964-4C01-97E9-A8BFC40349BB}"/>
    <cellStyle name="Comma 4 4 2 2 5 2 3" xfId="21141" xr:uid="{AD9009BE-A28A-460D-BCE9-A5EA4F269186}"/>
    <cellStyle name="Comma 4 4 2 2 5 2 4" xfId="12699" xr:uid="{499B206B-D410-4ADD-A4BE-0BFD0C009CE6}"/>
    <cellStyle name="Comma 4 4 2 2 5 3" xfId="6279" xr:uid="{00000000-0005-0000-0000-0000DF090000}"/>
    <cellStyle name="Comma 4 4 2 2 5 3 2" xfId="23214" xr:uid="{9CAB1233-44AB-4AFE-94E0-EECE8CFA983A}"/>
    <cellStyle name="Comma 4 4 2 2 5 3 3" xfId="14773" xr:uid="{F7F004E2-7429-4741-BD70-369040B3DCF8}"/>
    <cellStyle name="Comma 4 4 2 2 5 4" xfId="18996" xr:uid="{D8F95FBB-E36C-4FC5-9067-4146D7AD89A3}"/>
    <cellStyle name="Comma 4 4 2 2 5 5" xfId="10522" xr:uid="{62DE3AC5-506A-4596-9E20-8AA2916BF40A}"/>
    <cellStyle name="Comma 4 4 2 2 6" xfId="2408" xr:uid="{00000000-0005-0000-0000-0000E0090000}"/>
    <cellStyle name="Comma 4 4 2 2 6 2" xfId="6692" xr:uid="{00000000-0005-0000-0000-0000E1090000}"/>
    <cellStyle name="Comma 4 4 2 2 6 2 2" xfId="23627" xr:uid="{6346F58E-6A22-437B-B3F1-8387A78DDB35}"/>
    <cellStyle name="Comma 4 4 2 2 6 2 3" xfId="15186" xr:uid="{EC00728C-FB18-4303-90F9-90329230ECC8}"/>
    <cellStyle name="Comma 4 4 2 2 6 3" xfId="19409" xr:uid="{18C520D8-1559-4C81-A72F-70B11A72CCC6}"/>
    <cellStyle name="Comma 4 4 2 2 6 4" xfId="10957" xr:uid="{F191CF73-407B-49C0-A6F2-8CC8B17F807F}"/>
    <cellStyle name="Comma 4 4 2 2 7" xfId="2704" xr:uid="{00000000-0005-0000-0000-0000E2090000}"/>
    <cellStyle name="Comma 4 4 2 2 7 2" xfId="11252" xr:uid="{EDE59CC7-F688-489C-9448-6AA383B7A42F}"/>
    <cellStyle name="Comma 4 4 2 2 8" xfId="2786" xr:uid="{00000000-0005-0000-0000-0000E3090000}"/>
    <cellStyle name="Comma 4 4 2 2 8 2" xfId="7009" xr:uid="{00000000-0005-0000-0000-0000E4090000}"/>
    <cellStyle name="Comma 4 4 2 2 8 2 2" xfId="23944" xr:uid="{F6CD3878-C44D-498E-B00A-FD682041EC27}"/>
    <cellStyle name="Comma 4 4 2 2 8 2 3" xfId="15503" xr:uid="{3C03CF33-9458-46B9-B9EF-5C5CAA905A65}"/>
    <cellStyle name="Comma 4 4 2 2 8 3" xfId="19726" xr:uid="{D1D7123B-C5F4-4345-AC13-0C8B53C6A2A0}"/>
    <cellStyle name="Comma 4 4 2 2 8 4" xfId="11284" xr:uid="{E0C8074B-226E-4299-AF25-7B2E366EF551}"/>
    <cellStyle name="Comma 4 4 2 2 9" xfId="4626" xr:uid="{00000000-0005-0000-0000-0000E5090000}"/>
    <cellStyle name="Comma 4 4 2 2 9 2" xfId="21561" xr:uid="{3D7F661C-072B-4E34-B465-F18E72CAED28}"/>
    <cellStyle name="Comma 4 4 2 2 9 3" xfId="13120" xr:uid="{AF9756C1-BFDF-45D7-A963-60C5AA2B029D}"/>
    <cellStyle name="Comma 4 4 2 3" xfId="691" xr:uid="{00000000-0005-0000-0000-0000E6090000}"/>
    <cellStyle name="Comma 4 4 2 3 2" xfId="2962" xr:uid="{00000000-0005-0000-0000-0000E7090000}"/>
    <cellStyle name="Comma 4 4 2 3 2 2" xfId="7184" xr:uid="{00000000-0005-0000-0000-0000E8090000}"/>
    <cellStyle name="Comma 4 4 2 3 2 2 2" xfId="24119" xr:uid="{AB761772-A8D7-4BCA-AD3F-10A2A2196FE8}"/>
    <cellStyle name="Comma 4 4 2 3 2 2 3" xfId="15678" xr:uid="{EA97FA66-C5B8-40D3-AC99-2D5626FA6530}"/>
    <cellStyle name="Comma 4 4 2 3 2 3" xfId="19901" xr:uid="{1E7C3B1B-E273-40A5-8693-567538A957B5}"/>
    <cellStyle name="Comma 4 4 2 3 2 4" xfId="11459" xr:uid="{E13AC4D5-FE4B-40FF-B016-1AE42A165DAA}"/>
    <cellStyle name="Comma 4 4 2 3 3" xfId="5039" xr:uid="{00000000-0005-0000-0000-0000E9090000}"/>
    <cellStyle name="Comma 4 4 2 3 3 2" xfId="21974" xr:uid="{CE994A85-0E99-439D-BDB4-AEDB4588F3A1}"/>
    <cellStyle name="Comma 4 4 2 3 3 3" xfId="13533" xr:uid="{FFC47AC0-D620-4062-8DF6-EFCA693D4E29}"/>
    <cellStyle name="Comma 4 4 2 3 4" xfId="17756" xr:uid="{41C1CC48-CCF5-4AEB-A5DF-7D1AF7222939}"/>
    <cellStyle name="Comma 4 4 2 3 5" xfId="9281" xr:uid="{18B75E06-B957-41B2-B6A0-053F71DFFC38}"/>
    <cellStyle name="Comma 4 4 2 4" xfId="1144" xr:uid="{00000000-0005-0000-0000-0000EA090000}"/>
    <cellStyle name="Comma 4 4 2 4 2" xfId="3375" xr:uid="{00000000-0005-0000-0000-0000EB090000}"/>
    <cellStyle name="Comma 4 4 2 4 2 2" xfId="7597" xr:uid="{00000000-0005-0000-0000-0000EC090000}"/>
    <cellStyle name="Comma 4 4 2 4 2 2 2" xfId="24532" xr:uid="{234AE10A-5F1B-4AA2-9008-D5213C42F022}"/>
    <cellStyle name="Comma 4 4 2 4 2 2 3" xfId="16091" xr:uid="{698D092F-790A-4AE3-B546-3D42AC7D6CE1}"/>
    <cellStyle name="Comma 4 4 2 4 2 3" xfId="20314" xr:uid="{D85E74AB-364F-4200-B740-B0CB383462D9}"/>
    <cellStyle name="Comma 4 4 2 4 2 4" xfId="11872" xr:uid="{FD56EC74-2C4D-4734-A4AA-CB2004E1201E}"/>
    <cellStyle name="Comma 4 4 2 4 3" xfId="5452" xr:uid="{00000000-0005-0000-0000-0000ED090000}"/>
    <cellStyle name="Comma 4 4 2 4 3 2" xfId="22387" xr:uid="{6DDE38F2-ED9B-4C7E-A819-3CC94C45D656}"/>
    <cellStyle name="Comma 4 4 2 4 3 3" xfId="13946" xr:uid="{1AA45628-8385-400E-AFDA-C51025DC86E4}"/>
    <cellStyle name="Comma 4 4 2 4 4" xfId="18169" xr:uid="{632D284F-5E42-4F53-8084-E0CB806ED9C8}"/>
    <cellStyle name="Comma 4 4 2 4 5" xfId="9695" xr:uid="{68D04E6F-7543-4912-A698-B561A8DF3B6C}"/>
    <cellStyle name="Comma 4 4 2 5" xfId="1558" xr:uid="{00000000-0005-0000-0000-0000EE090000}"/>
    <cellStyle name="Comma 4 4 2 5 2" xfId="3788" xr:uid="{00000000-0005-0000-0000-0000EF090000}"/>
    <cellStyle name="Comma 4 4 2 5 2 2" xfId="8010" xr:uid="{00000000-0005-0000-0000-0000F0090000}"/>
    <cellStyle name="Comma 4 4 2 5 2 2 2" xfId="24945" xr:uid="{288B685C-6872-4A0A-A49E-7F4308802DC9}"/>
    <cellStyle name="Comma 4 4 2 5 2 2 3" xfId="16504" xr:uid="{EEFF20C8-0613-4995-AC4B-23F8C06E9A5A}"/>
    <cellStyle name="Comma 4 4 2 5 2 3" xfId="20727" xr:uid="{17395037-86F8-4697-AF43-C168F0E52476}"/>
    <cellStyle name="Comma 4 4 2 5 2 4" xfId="12285" xr:uid="{3645BA18-5D50-414A-B75C-D0A90794C313}"/>
    <cellStyle name="Comma 4 4 2 5 3" xfId="5865" xr:uid="{00000000-0005-0000-0000-0000F1090000}"/>
    <cellStyle name="Comma 4 4 2 5 3 2" xfId="22800" xr:uid="{408273D2-0D5D-4B3D-95E0-48FE7F6AA404}"/>
    <cellStyle name="Comma 4 4 2 5 3 3" xfId="14359" xr:uid="{D425F048-4A43-4321-87F8-23E288BCD4D5}"/>
    <cellStyle name="Comma 4 4 2 5 4" xfId="18582" xr:uid="{9CF1BB32-70A3-4B26-A250-15584D56348D}"/>
    <cellStyle name="Comma 4 4 2 5 5" xfId="10108" xr:uid="{0BCBBBE4-C1C8-44D9-8794-E3ABA1CED3B8}"/>
    <cellStyle name="Comma 4 4 2 6" xfId="1972" xr:uid="{00000000-0005-0000-0000-0000F2090000}"/>
    <cellStyle name="Comma 4 4 2 6 2" xfId="4201" xr:uid="{00000000-0005-0000-0000-0000F3090000}"/>
    <cellStyle name="Comma 4 4 2 6 2 2" xfId="8423" xr:uid="{00000000-0005-0000-0000-0000F4090000}"/>
    <cellStyle name="Comma 4 4 2 6 2 2 2" xfId="25358" xr:uid="{5276176E-51B3-421E-97FB-0FF748588681}"/>
    <cellStyle name="Comma 4 4 2 6 2 2 3" xfId="16917" xr:uid="{EF408235-DC9D-4F4A-999B-5BF4D41CEE5A}"/>
    <cellStyle name="Comma 4 4 2 6 2 3" xfId="21140" xr:uid="{6A922CE6-4B66-43D6-8BD1-E1B0432FD189}"/>
    <cellStyle name="Comma 4 4 2 6 2 4" xfId="12698" xr:uid="{0A18CD21-97C7-4042-8E6C-493EBB8A1BE7}"/>
    <cellStyle name="Comma 4 4 2 6 3" xfId="6278" xr:uid="{00000000-0005-0000-0000-0000F5090000}"/>
    <cellStyle name="Comma 4 4 2 6 3 2" xfId="23213" xr:uid="{9A67D1C7-B5AD-4712-AD70-81117140E763}"/>
    <cellStyle name="Comma 4 4 2 6 3 3" xfId="14772" xr:uid="{7C9F90B9-C117-44FA-8F54-D852F747D17A}"/>
    <cellStyle name="Comma 4 4 2 6 4" xfId="18995" xr:uid="{3E77D348-54BE-4E49-B3D2-C21393D67D2E}"/>
    <cellStyle name="Comma 4 4 2 6 5" xfId="10521" xr:uid="{A753857A-45D9-4E87-A294-0E3C991645EC}"/>
    <cellStyle name="Comma 4 4 2 7" xfId="2407" xr:uid="{00000000-0005-0000-0000-0000F6090000}"/>
    <cellStyle name="Comma 4 4 2 7 2" xfId="6691" xr:uid="{00000000-0005-0000-0000-0000F7090000}"/>
    <cellStyle name="Comma 4 4 2 7 2 2" xfId="23626" xr:uid="{926C93A2-2FD4-4D5A-9432-B05344D3F669}"/>
    <cellStyle name="Comma 4 4 2 7 2 3" xfId="15185" xr:uid="{51753DE1-A681-43C8-AB51-7A7EB3892461}"/>
    <cellStyle name="Comma 4 4 2 7 3" xfId="19408" xr:uid="{613396EC-7F77-4201-8AF8-D37E157D30DA}"/>
    <cellStyle name="Comma 4 4 2 7 4" xfId="10956" xr:uid="{771B897C-6A3A-4823-B1BD-E4A4ECAA6A56}"/>
    <cellStyle name="Comma 4 4 2 8" xfId="2703" xr:uid="{00000000-0005-0000-0000-0000F8090000}"/>
    <cellStyle name="Comma 4 4 2 8 2" xfId="11251" xr:uid="{C9DEF09F-73ED-46EF-B7F9-F2CF37AFA295}"/>
    <cellStyle name="Comma 4 4 2 9" xfId="2785" xr:uid="{00000000-0005-0000-0000-0000F9090000}"/>
    <cellStyle name="Comma 4 4 2 9 2" xfId="7008" xr:uid="{00000000-0005-0000-0000-0000FA090000}"/>
    <cellStyle name="Comma 4 4 2 9 2 2" xfId="23943" xr:uid="{A1C6449E-7E70-4633-95CD-F67015F0B2F9}"/>
    <cellStyle name="Comma 4 4 2 9 2 3" xfId="15502" xr:uid="{A689F9A1-A690-4103-86ED-CAF33BAA832D}"/>
    <cellStyle name="Comma 4 4 2 9 3" xfId="19725" xr:uid="{6EACFDB9-227D-4BCE-8BEF-72FC99B39DD9}"/>
    <cellStyle name="Comma 4 4 2 9 4" xfId="11283" xr:uid="{404737F0-C894-437C-B6BF-E92215D129B5}"/>
    <cellStyle name="Comma 4 4 3" xfId="156" xr:uid="{00000000-0005-0000-0000-0000FB090000}"/>
    <cellStyle name="Comma 4 4 3 10" xfId="17344" xr:uid="{67EA23C4-0870-42C7-8562-7B136A68BABF}"/>
    <cellStyle name="Comma 4 4 3 11" xfId="8866" xr:uid="{3F7DFAE5-8DC4-417E-BCD5-0B0483578953}"/>
    <cellStyle name="Comma 4 4 3 2" xfId="693" xr:uid="{00000000-0005-0000-0000-0000FC090000}"/>
    <cellStyle name="Comma 4 4 3 2 2" xfId="2964" xr:uid="{00000000-0005-0000-0000-0000FD090000}"/>
    <cellStyle name="Comma 4 4 3 2 2 2" xfId="7186" xr:uid="{00000000-0005-0000-0000-0000FE090000}"/>
    <cellStyle name="Comma 4 4 3 2 2 2 2" xfId="24121" xr:uid="{38989E5A-4105-481F-81C3-7376B0D6477E}"/>
    <cellStyle name="Comma 4 4 3 2 2 2 3" xfId="15680" xr:uid="{8C11633F-17C5-4DC8-96EA-59C836D0C619}"/>
    <cellStyle name="Comma 4 4 3 2 2 3" xfId="19903" xr:uid="{2B4F52FF-CDB2-4405-839F-E8C465E6489E}"/>
    <cellStyle name="Comma 4 4 3 2 2 4" xfId="11461" xr:uid="{8F689780-F3D4-4735-9280-B97EF2D3523A}"/>
    <cellStyle name="Comma 4 4 3 2 3" xfId="5041" xr:uid="{00000000-0005-0000-0000-0000FF090000}"/>
    <cellStyle name="Comma 4 4 3 2 3 2" xfId="21976" xr:uid="{1C7B3B29-DA47-47E4-8E16-05B79F0EE22F}"/>
    <cellStyle name="Comma 4 4 3 2 3 3" xfId="13535" xr:uid="{1C9E0DE1-0F82-48E1-A56B-AC66D3577DF3}"/>
    <cellStyle name="Comma 4 4 3 2 4" xfId="17758" xr:uid="{FE09F730-B7F2-41CB-BD6B-C906B0E4D8EC}"/>
    <cellStyle name="Comma 4 4 3 2 5" xfId="9283" xr:uid="{6648020E-A1CE-4C4B-9904-861CBA5C7F88}"/>
    <cellStyle name="Comma 4 4 3 3" xfId="1146" xr:uid="{00000000-0005-0000-0000-0000000A0000}"/>
    <cellStyle name="Comma 4 4 3 3 2" xfId="3377" xr:uid="{00000000-0005-0000-0000-0000010A0000}"/>
    <cellStyle name="Comma 4 4 3 3 2 2" xfId="7599" xr:uid="{00000000-0005-0000-0000-0000020A0000}"/>
    <cellStyle name="Comma 4 4 3 3 2 2 2" xfId="24534" xr:uid="{B3A6CEB9-23C1-4A59-9478-B6B73728CD0E}"/>
    <cellStyle name="Comma 4 4 3 3 2 2 3" xfId="16093" xr:uid="{14F98FB3-9BA7-41AA-95C3-FA3EB944401E}"/>
    <cellStyle name="Comma 4 4 3 3 2 3" xfId="20316" xr:uid="{D7F33712-FF1C-43E8-8AA8-B6126FBBC2F8}"/>
    <cellStyle name="Comma 4 4 3 3 2 4" xfId="11874" xr:uid="{3A594B37-151B-457F-A411-A9CE000465BC}"/>
    <cellStyle name="Comma 4 4 3 3 3" xfId="5454" xr:uid="{00000000-0005-0000-0000-0000030A0000}"/>
    <cellStyle name="Comma 4 4 3 3 3 2" xfId="22389" xr:uid="{B05B34F1-ED2F-4778-8F80-88979EBE7E99}"/>
    <cellStyle name="Comma 4 4 3 3 3 3" xfId="13948" xr:uid="{916DA2E9-E865-4086-B104-51916B5EF310}"/>
    <cellStyle name="Comma 4 4 3 3 4" xfId="18171" xr:uid="{6B06F087-DBD9-4479-A687-F180F3AEBC6A}"/>
    <cellStyle name="Comma 4 4 3 3 5" xfId="9697" xr:uid="{94B0E089-8A57-49A3-8C5F-38AA5EBB166D}"/>
    <cellStyle name="Comma 4 4 3 4" xfId="1560" xr:uid="{00000000-0005-0000-0000-0000040A0000}"/>
    <cellStyle name="Comma 4 4 3 4 2" xfId="3790" xr:uid="{00000000-0005-0000-0000-0000050A0000}"/>
    <cellStyle name="Comma 4 4 3 4 2 2" xfId="8012" xr:uid="{00000000-0005-0000-0000-0000060A0000}"/>
    <cellStyle name="Comma 4 4 3 4 2 2 2" xfId="24947" xr:uid="{461F2433-FD5C-4328-AA97-856F748E4ED3}"/>
    <cellStyle name="Comma 4 4 3 4 2 2 3" xfId="16506" xr:uid="{3D7072D1-5835-47DB-80A1-28332748DA84}"/>
    <cellStyle name="Comma 4 4 3 4 2 3" xfId="20729" xr:uid="{3EB8FE99-389B-4748-B4FE-DDA266E80D6D}"/>
    <cellStyle name="Comma 4 4 3 4 2 4" xfId="12287" xr:uid="{942AF3D2-07BA-449D-A088-B04FBDEA6C6A}"/>
    <cellStyle name="Comma 4 4 3 4 3" xfId="5867" xr:uid="{00000000-0005-0000-0000-0000070A0000}"/>
    <cellStyle name="Comma 4 4 3 4 3 2" xfId="22802" xr:uid="{2B006A06-6455-49CF-9D0C-D786AF069531}"/>
    <cellStyle name="Comma 4 4 3 4 3 3" xfId="14361" xr:uid="{59889DBC-E50B-4337-88A0-173DAB853F4E}"/>
    <cellStyle name="Comma 4 4 3 4 4" xfId="18584" xr:uid="{2B775057-27EF-4517-9E8B-C42440186D70}"/>
    <cellStyle name="Comma 4 4 3 4 5" xfId="10110" xr:uid="{E4B6875E-DC4C-4392-807E-C4AACC8E28CE}"/>
    <cellStyle name="Comma 4 4 3 5" xfId="1974" xr:uid="{00000000-0005-0000-0000-0000080A0000}"/>
    <cellStyle name="Comma 4 4 3 5 2" xfId="4203" xr:uid="{00000000-0005-0000-0000-0000090A0000}"/>
    <cellStyle name="Comma 4 4 3 5 2 2" xfId="8425" xr:uid="{00000000-0005-0000-0000-00000A0A0000}"/>
    <cellStyle name="Comma 4 4 3 5 2 2 2" xfId="25360" xr:uid="{F02CD4ED-7976-4C89-84D1-7DB41E46E6C0}"/>
    <cellStyle name="Comma 4 4 3 5 2 2 3" xfId="16919" xr:uid="{B61973AF-0113-4F0A-A407-38D58400A20A}"/>
    <cellStyle name="Comma 4 4 3 5 2 3" xfId="21142" xr:uid="{4A1145D0-917F-403D-881E-B65467B4D551}"/>
    <cellStyle name="Comma 4 4 3 5 2 4" xfId="12700" xr:uid="{B4A9A59C-0629-4E4C-ACB6-76A3973653EF}"/>
    <cellStyle name="Comma 4 4 3 5 3" xfId="6280" xr:uid="{00000000-0005-0000-0000-00000B0A0000}"/>
    <cellStyle name="Comma 4 4 3 5 3 2" xfId="23215" xr:uid="{F25E4155-D7F0-4CD5-AF4A-95D645ECC8FE}"/>
    <cellStyle name="Comma 4 4 3 5 3 3" xfId="14774" xr:uid="{C030C94B-288A-4B5A-AA0C-D420E1FC4C31}"/>
    <cellStyle name="Comma 4 4 3 5 4" xfId="18997" xr:uid="{501754E2-64ED-42F7-A546-EC45A6C8F774}"/>
    <cellStyle name="Comma 4 4 3 5 5" xfId="10523" xr:uid="{614877F1-08E3-4281-AF5A-AC682F2E2CE6}"/>
    <cellStyle name="Comma 4 4 3 6" xfId="2409" xr:uid="{00000000-0005-0000-0000-00000C0A0000}"/>
    <cellStyle name="Comma 4 4 3 6 2" xfId="6693" xr:uid="{00000000-0005-0000-0000-00000D0A0000}"/>
    <cellStyle name="Comma 4 4 3 6 2 2" xfId="23628" xr:uid="{4F97521C-BCE5-4BB9-BB6D-35B0FAA67E5D}"/>
    <cellStyle name="Comma 4 4 3 6 2 3" xfId="15187" xr:uid="{4331E429-9D5B-445E-9EE8-1DC8CDC0C172}"/>
    <cellStyle name="Comma 4 4 3 6 3" xfId="19410" xr:uid="{FA0BFFDC-FB80-48E7-9973-2EACEDA474B9}"/>
    <cellStyle name="Comma 4 4 3 6 4" xfId="10958" xr:uid="{8930AA64-87C6-4C6A-8E80-E752977C356D}"/>
    <cellStyle name="Comma 4 4 3 7" xfId="2705" xr:uid="{00000000-0005-0000-0000-00000E0A0000}"/>
    <cellStyle name="Comma 4 4 3 7 2" xfId="11253" xr:uid="{65D3E840-7512-48B6-8412-71FBD4A6DD77}"/>
    <cellStyle name="Comma 4 4 3 8" xfId="2787" xr:uid="{00000000-0005-0000-0000-00000F0A0000}"/>
    <cellStyle name="Comma 4 4 3 8 2" xfId="7010" xr:uid="{00000000-0005-0000-0000-0000100A0000}"/>
    <cellStyle name="Comma 4 4 3 8 2 2" xfId="23945" xr:uid="{04566313-0C16-429D-B34D-54DC4DEE03EC}"/>
    <cellStyle name="Comma 4 4 3 8 2 3" xfId="15504" xr:uid="{9A99F278-F767-42DA-B149-9F0FC4ADA014}"/>
    <cellStyle name="Comma 4 4 3 8 3" xfId="19727" xr:uid="{D31F16B4-F542-4FCE-AD03-F05F0DBE6E9D}"/>
    <cellStyle name="Comma 4 4 3 8 4" xfId="11285" xr:uid="{2D6E3574-2852-421A-8A6A-4A605180209A}"/>
    <cellStyle name="Comma 4 4 3 9" xfId="4627" xr:uid="{00000000-0005-0000-0000-0000110A0000}"/>
    <cellStyle name="Comma 4 4 3 9 2" xfId="21562" xr:uid="{C61EF1B9-DBFF-49CF-85FB-B8892C8E6474}"/>
    <cellStyle name="Comma 4 4 3 9 3" xfId="13121" xr:uid="{409AF182-6CE6-4240-937D-9DF2B7251027}"/>
    <cellStyle name="Comma 4 4 4" xfId="690" xr:uid="{00000000-0005-0000-0000-0000120A0000}"/>
    <cellStyle name="Comma 4 4 4 2" xfId="2961" xr:uid="{00000000-0005-0000-0000-0000130A0000}"/>
    <cellStyle name="Comma 4 4 4 2 2" xfId="7183" xr:uid="{00000000-0005-0000-0000-0000140A0000}"/>
    <cellStyle name="Comma 4 4 4 2 2 2" xfId="24118" xr:uid="{6930B5E6-D57A-40E0-AC86-EB1D2B2F8D7C}"/>
    <cellStyle name="Comma 4 4 4 2 2 3" xfId="15677" xr:uid="{37310D6F-FE76-4E34-8323-C150CE88A77E}"/>
    <cellStyle name="Comma 4 4 4 2 3" xfId="19900" xr:uid="{81F372E6-E613-4690-85D1-805A850B1A6A}"/>
    <cellStyle name="Comma 4 4 4 2 4" xfId="11458" xr:uid="{440E7940-0364-485C-B6D1-E6E70037B044}"/>
    <cellStyle name="Comma 4 4 4 3" xfId="5038" xr:uid="{00000000-0005-0000-0000-0000150A0000}"/>
    <cellStyle name="Comma 4 4 4 3 2" xfId="21973" xr:uid="{3F750381-3DFB-4E5B-B736-62AD1A2338E5}"/>
    <cellStyle name="Comma 4 4 4 3 3" xfId="13532" xr:uid="{D4331C2F-C99D-45B2-9CEF-F6FBC106DBBB}"/>
    <cellStyle name="Comma 4 4 4 4" xfId="17755" xr:uid="{1189EA49-505D-4110-9683-695719DFBA70}"/>
    <cellStyle name="Comma 4 4 4 5" xfId="9280" xr:uid="{D3A71EC4-2B62-4A3C-834B-83483D24837C}"/>
    <cellStyle name="Comma 4 4 5" xfId="1143" xr:uid="{00000000-0005-0000-0000-0000160A0000}"/>
    <cellStyle name="Comma 4 4 5 2" xfId="3374" xr:uid="{00000000-0005-0000-0000-0000170A0000}"/>
    <cellStyle name="Comma 4 4 5 2 2" xfId="7596" xr:uid="{00000000-0005-0000-0000-0000180A0000}"/>
    <cellStyle name="Comma 4 4 5 2 2 2" xfId="24531" xr:uid="{E0C2E898-0B16-4D40-B96F-782F57E27794}"/>
    <cellStyle name="Comma 4 4 5 2 2 3" xfId="16090" xr:uid="{D2DC2AC9-8488-4D04-B367-075902FF864F}"/>
    <cellStyle name="Comma 4 4 5 2 3" xfId="20313" xr:uid="{FF181571-8ED3-4F9F-8075-27AF11C8698D}"/>
    <cellStyle name="Comma 4 4 5 2 4" xfId="11871" xr:uid="{AFA2E53A-D857-45B6-B197-843CA17926F9}"/>
    <cellStyle name="Comma 4 4 5 3" xfId="5451" xr:uid="{00000000-0005-0000-0000-0000190A0000}"/>
    <cellStyle name="Comma 4 4 5 3 2" xfId="22386" xr:uid="{8809FC98-D542-4FBC-9BE7-98171C7EC3CC}"/>
    <cellStyle name="Comma 4 4 5 3 3" xfId="13945" xr:uid="{FA28B5C5-ED1C-4C8C-95BF-EB94D6E138C2}"/>
    <cellStyle name="Comma 4 4 5 4" xfId="18168" xr:uid="{34B43469-2102-41A1-AD7C-FCAADFB6DEF3}"/>
    <cellStyle name="Comma 4 4 5 5" xfId="9694" xr:uid="{987EA55F-E909-45BE-87C0-7498E4DA7F0D}"/>
    <cellStyle name="Comma 4 4 6" xfId="1557" xr:uid="{00000000-0005-0000-0000-00001A0A0000}"/>
    <cellStyle name="Comma 4 4 6 2" xfId="3787" xr:uid="{00000000-0005-0000-0000-00001B0A0000}"/>
    <cellStyle name="Comma 4 4 6 2 2" xfId="8009" xr:uid="{00000000-0005-0000-0000-00001C0A0000}"/>
    <cellStyle name="Comma 4 4 6 2 2 2" xfId="24944" xr:uid="{8A919C47-E579-4B23-AE42-1530CDB8C1CC}"/>
    <cellStyle name="Comma 4 4 6 2 2 3" xfId="16503" xr:uid="{3969B8C5-A1B4-49D5-AFBF-6FCF3961030E}"/>
    <cellStyle name="Comma 4 4 6 2 3" xfId="20726" xr:uid="{B03485B9-003C-4C33-918C-DF704276DD52}"/>
    <cellStyle name="Comma 4 4 6 2 4" xfId="12284" xr:uid="{23FE9C80-D9EB-4E28-83F7-594D5B63059C}"/>
    <cellStyle name="Comma 4 4 6 3" xfId="5864" xr:uid="{00000000-0005-0000-0000-00001D0A0000}"/>
    <cellStyle name="Comma 4 4 6 3 2" xfId="22799" xr:uid="{139BD310-9055-4BDD-BF8B-01C6594FE9AA}"/>
    <cellStyle name="Comma 4 4 6 3 3" xfId="14358" xr:uid="{F8D6976A-4B72-40FB-BF3A-234FB43FB660}"/>
    <cellStyle name="Comma 4 4 6 4" xfId="18581" xr:uid="{5287DEB3-43EF-429F-B3F2-39991B64AA6E}"/>
    <cellStyle name="Comma 4 4 6 5" xfId="10107" xr:uid="{35F08021-C0BF-4445-8F64-ACA8EA68277A}"/>
    <cellStyle name="Comma 4 4 7" xfId="1971" xr:uid="{00000000-0005-0000-0000-00001E0A0000}"/>
    <cellStyle name="Comma 4 4 7 2" xfId="4200" xr:uid="{00000000-0005-0000-0000-00001F0A0000}"/>
    <cellStyle name="Comma 4 4 7 2 2" xfId="8422" xr:uid="{00000000-0005-0000-0000-0000200A0000}"/>
    <cellStyle name="Comma 4 4 7 2 2 2" xfId="25357" xr:uid="{33EEE6A0-99CC-447C-9FB3-AF58C0FAEA6F}"/>
    <cellStyle name="Comma 4 4 7 2 2 3" xfId="16916" xr:uid="{8F7C5E0A-7B45-4F0C-9700-7D1AEA13E522}"/>
    <cellStyle name="Comma 4 4 7 2 3" xfId="21139" xr:uid="{01999AD2-D713-4606-9B7D-CB2BB6B3A31C}"/>
    <cellStyle name="Comma 4 4 7 2 4" xfId="12697" xr:uid="{8C786214-4C0A-49F4-962C-5E9C05039BC0}"/>
    <cellStyle name="Comma 4 4 7 3" xfId="6277" xr:uid="{00000000-0005-0000-0000-0000210A0000}"/>
    <cellStyle name="Comma 4 4 7 3 2" xfId="23212" xr:uid="{7CD23486-9DDA-4CAD-AC44-27986CC6F33D}"/>
    <cellStyle name="Comma 4 4 7 3 3" xfId="14771" xr:uid="{1AF23329-010F-48B7-A518-71BA0220B081}"/>
    <cellStyle name="Comma 4 4 7 4" xfId="18994" xr:uid="{45D56B31-239A-4D6E-B1F8-03E925770D13}"/>
    <cellStyle name="Comma 4 4 7 5" xfId="10520" xr:uid="{DB4A72AA-6B65-4811-9D36-22A4E3FF017D}"/>
    <cellStyle name="Comma 4 4 8" xfId="2406" xr:uid="{00000000-0005-0000-0000-0000220A0000}"/>
    <cellStyle name="Comma 4 4 8 2" xfId="6690" xr:uid="{00000000-0005-0000-0000-0000230A0000}"/>
    <cellStyle name="Comma 4 4 8 2 2" xfId="23625" xr:uid="{E96C83CE-56EC-475F-B77B-78BB0D842B48}"/>
    <cellStyle name="Comma 4 4 8 2 3" xfId="15184" xr:uid="{59488856-63A0-49D9-8BA3-E96778923687}"/>
    <cellStyle name="Comma 4 4 8 3" xfId="19407" xr:uid="{860754B5-AE45-4517-8079-348371F723EA}"/>
    <cellStyle name="Comma 4 4 8 4" xfId="10955" xr:uid="{187C62A3-9BBE-46C5-AC6B-719639229890}"/>
    <cellStyle name="Comma 4 4 9" xfId="2702" xr:uid="{00000000-0005-0000-0000-0000240A0000}"/>
    <cellStyle name="Comma 4 4 9 2" xfId="11250" xr:uid="{7771568B-532D-46B2-A48B-1E82DDB5FE3E}"/>
    <cellStyle name="Comma 4 5" xfId="157" xr:uid="{00000000-0005-0000-0000-0000250A0000}"/>
    <cellStyle name="Comma 4 5 10" xfId="4628" xr:uid="{00000000-0005-0000-0000-0000260A0000}"/>
    <cellStyle name="Comma 4 5 10 2" xfId="21563" xr:uid="{EED4F09D-9718-4428-8CD9-6B0F62721248}"/>
    <cellStyle name="Comma 4 5 10 3" xfId="13122" xr:uid="{9A2107E2-1497-4F17-B855-50C53A6B0E7B}"/>
    <cellStyle name="Comma 4 5 11" xfId="17345" xr:uid="{06551105-4D9B-4C2F-AB11-8F8695AE2EAB}"/>
    <cellStyle name="Comma 4 5 12" xfId="8867" xr:uid="{893CA23A-98C1-4A99-9D28-4E471B3485EB}"/>
    <cellStyle name="Comma 4 5 2" xfId="158" xr:uid="{00000000-0005-0000-0000-0000270A0000}"/>
    <cellStyle name="Comma 4 5 2 10" xfId="17346" xr:uid="{6B039073-BA6C-4BA6-ADFF-90108DD0C7F9}"/>
    <cellStyle name="Comma 4 5 2 11" xfId="8868" xr:uid="{F91F1E84-F043-4723-B6E2-E3A6FC88212B}"/>
    <cellStyle name="Comma 4 5 2 2" xfId="695" xr:uid="{00000000-0005-0000-0000-0000280A0000}"/>
    <cellStyle name="Comma 4 5 2 2 2" xfId="2966" xr:uid="{00000000-0005-0000-0000-0000290A0000}"/>
    <cellStyle name="Comma 4 5 2 2 2 2" xfId="7188" xr:uid="{00000000-0005-0000-0000-00002A0A0000}"/>
    <cellStyle name="Comma 4 5 2 2 2 2 2" xfId="24123" xr:uid="{32ACE658-CCD1-4727-B1EF-C3C46A2FE09B}"/>
    <cellStyle name="Comma 4 5 2 2 2 2 3" xfId="15682" xr:uid="{FE918B14-8BEC-406D-A6BB-69E2FD580EC0}"/>
    <cellStyle name="Comma 4 5 2 2 2 3" xfId="19905" xr:uid="{D6B1F9D8-465D-403C-A404-265DEA037633}"/>
    <cellStyle name="Comma 4 5 2 2 2 4" xfId="11463" xr:uid="{DB163EBC-77CA-4EDF-AF03-9C8184682F3E}"/>
    <cellStyle name="Comma 4 5 2 2 3" xfId="5043" xr:uid="{00000000-0005-0000-0000-00002B0A0000}"/>
    <cellStyle name="Comma 4 5 2 2 3 2" xfId="21978" xr:uid="{5C536384-E5D8-4803-B666-2E2E39BBFFBA}"/>
    <cellStyle name="Comma 4 5 2 2 3 3" xfId="13537" xr:uid="{132AD3B2-BF86-484C-87D2-7B7F1AE5332C}"/>
    <cellStyle name="Comma 4 5 2 2 4" xfId="17760" xr:uid="{A3D36C5F-ED70-4C78-97F1-611BCAF87462}"/>
    <cellStyle name="Comma 4 5 2 2 5" xfId="9285" xr:uid="{6CDCDAFE-F860-42EC-986C-D8249D5E215B}"/>
    <cellStyle name="Comma 4 5 2 3" xfId="1148" xr:uid="{00000000-0005-0000-0000-00002C0A0000}"/>
    <cellStyle name="Comma 4 5 2 3 2" xfId="3379" xr:uid="{00000000-0005-0000-0000-00002D0A0000}"/>
    <cellStyle name="Comma 4 5 2 3 2 2" xfId="7601" xr:uid="{00000000-0005-0000-0000-00002E0A0000}"/>
    <cellStyle name="Comma 4 5 2 3 2 2 2" xfId="24536" xr:uid="{6C9BE6D4-B235-450F-B94C-41F51D5795A3}"/>
    <cellStyle name="Comma 4 5 2 3 2 2 3" xfId="16095" xr:uid="{25F896F8-D318-47BE-B378-16FEBB321195}"/>
    <cellStyle name="Comma 4 5 2 3 2 3" xfId="20318" xr:uid="{3B915512-C90E-4C1E-936E-16B3201ADF24}"/>
    <cellStyle name="Comma 4 5 2 3 2 4" xfId="11876" xr:uid="{A3F6B258-D6B4-41BE-AE30-2B1CCC5C0BB7}"/>
    <cellStyle name="Comma 4 5 2 3 3" xfId="5456" xr:uid="{00000000-0005-0000-0000-00002F0A0000}"/>
    <cellStyle name="Comma 4 5 2 3 3 2" xfId="22391" xr:uid="{BA5DCFE6-1DF6-4712-A25A-AC6859FFD831}"/>
    <cellStyle name="Comma 4 5 2 3 3 3" xfId="13950" xr:uid="{BF361881-5A1E-4120-9268-42F1675DF9FF}"/>
    <cellStyle name="Comma 4 5 2 3 4" xfId="18173" xr:uid="{0D9BD826-468B-4683-AB57-1A7C5C81CF41}"/>
    <cellStyle name="Comma 4 5 2 3 5" xfId="9699" xr:uid="{C019846F-EEDE-4229-BFBB-C06ABAF9DDAA}"/>
    <cellStyle name="Comma 4 5 2 4" xfId="1562" xr:uid="{00000000-0005-0000-0000-0000300A0000}"/>
    <cellStyle name="Comma 4 5 2 4 2" xfId="3792" xr:uid="{00000000-0005-0000-0000-0000310A0000}"/>
    <cellStyle name="Comma 4 5 2 4 2 2" xfId="8014" xr:uid="{00000000-0005-0000-0000-0000320A0000}"/>
    <cellStyle name="Comma 4 5 2 4 2 2 2" xfId="24949" xr:uid="{8EE0C13E-D90A-45DF-8F5B-8DAB48ABC9B0}"/>
    <cellStyle name="Comma 4 5 2 4 2 2 3" xfId="16508" xr:uid="{972C246D-A8D1-4C41-93B1-0623198C759E}"/>
    <cellStyle name="Comma 4 5 2 4 2 3" xfId="20731" xr:uid="{FE682160-E61F-4BC7-BC30-DDF3BA39215D}"/>
    <cellStyle name="Comma 4 5 2 4 2 4" xfId="12289" xr:uid="{BA3C6097-40AA-4F72-865E-AC0FC8B93F98}"/>
    <cellStyle name="Comma 4 5 2 4 3" xfId="5869" xr:uid="{00000000-0005-0000-0000-0000330A0000}"/>
    <cellStyle name="Comma 4 5 2 4 3 2" xfId="22804" xr:uid="{3615B945-C762-484A-A036-05DEFC02B0BF}"/>
    <cellStyle name="Comma 4 5 2 4 3 3" xfId="14363" xr:uid="{BD7924D4-A587-44B4-95C2-1113B0236123}"/>
    <cellStyle name="Comma 4 5 2 4 4" xfId="18586" xr:uid="{30C333D1-9760-46E3-A1AE-3C6F32E998D5}"/>
    <cellStyle name="Comma 4 5 2 4 5" xfId="10112" xr:uid="{6B797108-87ED-4B84-94F6-C57805AF9A82}"/>
    <cellStyle name="Comma 4 5 2 5" xfId="1976" xr:uid="{00000000-0005-0000-0000-0000340A0000}"/>
    <cellStyle name="Comma 4 5 2 5 2" xfId="4205" xr:uid="{00000000-0005-0000-0000-0000350A0000}"/>
    <cellStyle name="Comma 4 5 2 5 2 2" xfId="8427" xr:uid="{00000000-0005-0000-0000-0000360A0000}"/>
    <cellStyle name="Comma 4 5 2 5 2 2 2" xfId="25362" xr:uid="{83E6DA91-E28E-4BBC-BE0A-784C3794B0C0}"/>
    <cellStyle name="Comma 4 5 2 5 2 2 3" xfId="16921" xr:uid="{E78D4D10-4700-4A70-9BAD-6A0B6F5E399E}"/>
    <cellStyle name="Comma 4 5 2 5 2 3" xfId="21144" xr:uid="{EE158368-085D-4847-9D68-49B390A0C637}"/>
    <cellStyle name="Comma 4 5 2 5 2 4" xfId="12702" xr:uid="{1A5A1DD8-9EE5-4F30-9835-8165668C8E5A}"/>
    <cellStyle name="Comma 4 5 2 5 3" xfId="6282" xr:uid="{00000000-0005-0000-0000-0000370A0000}"/>
    <cellStyle name="Comma 4 5 2 5 3 2" xfId="23217" xr:uid="{7A00372A-EF8C-4CC0-90F4-84296A6E8CDE}"/>
    <cellStyle name="Comma 4 5 2 5 3 3" xfId="14776" xr:uid="{2803AAFD-6456-4BE9-9ADD-C98AF4331A5C}"/>
    <cellStyle name="Comma 4 5 2 5 4" xfId="18999" xr:uid="{7377F4AF-2991-45FD-868B-5A667ABC95F4}"/>
    <cellStyle name="Comma 4 5 2 5 5" xfId="10525" xr:uid="{9D127EAD-570B-4619-924A-9D4D5ADDFAB6}"/>
    <cellStyle name="Comma 4 5 2 6" xfId="2411" xr:uid="{00000000-0005-0000-0000-0000380A0000}"/>
    <cellStyle name="Comma 4 5 2 6 2" xfId="6695" xr:uid="{00000000-0005-0000-0000-0000390A0000}"/>
    <cellStyle name="Comma 4 5 2 6 2 2" xfId="23630" xr:uid="{7CBB8D86-8697-49F3-AF67-2C757707DD14}"/>
    <cellStyle name="Comma 4 5 2 6 2 3" xfId="15189" xr:uid="{4E8B5813-9B42-4E62-A853-F0C15641A6C4}"/>
    <cellStyle name="Comma 4 5 2 6 3" xfId="19412" xr:uid="{ECC286C5-15EB-470B-AD35-AE953265FA20}"/>
    <cellStyle name="Comma 4 5 2 6 4" xfId="10960" xr:uid="{C9B15028-7F56-4F66-A86D-C5B4CB162095}"/>
    <cellStyle name="Comma 4 5 2 7" xfId="2707" xr:uid="{00000000-0005-0000-0000-00003A0A0000}"/>
    <cellStyle name="Comma 4 5 2 7 2" xfId="11255" xr:uid="{B321D94D-379A-4800-B724-9259A0C579FE}"/>
    <cellStyle name="Comma 4 5 2 8" xfId="2789" xr:uid="{00000000-0005-0000-0000-00003B0A0000}"/>
    <cellStyle name="Comma 4 5 2 8 2" xfId="7012" xr:uid="{00000000-0005-0000-0000-00003C0A0000}"/>
    <cellStyle name="Comma 4 5 2 8 2 2" xfId="23947" xr:uid="{8D6D0613-DDFD-4478-ACBB-8CAA816D488E}"/>
    <cellStyle name="Comma 4 5 2 8 2 3" xfId="15506" xr:uid="{E53AB322-8F70-4979-8E03-76F69AA90C25}"/>
    <cellStyle name="Comma 4 5 2 8 3" xfId="19729" xr:uid="{58A2A261-2536-4526-ACBE-1F11DAF143FF}"/>
    <cellStyle name="Comma 4 5 2 8 4" xfId="11287" xr:uid="{45176B96-BF49-4EFD-8EC0-8715709A697A}"/>
    <cellStyle name="Comma 4 5 2 9" xfId="4629" xr:uid="{00000000-0005-0000-0000-00003D0A0000}"/>
    <cellStyle name="Comma 4 5 2 9 2" xfId="21564" xr:uid="{39C6FFB2-09EF-4C97-A23C-0A4CEE17509C}"/>
    <cellStyle name="Comma 4 5 2 9 3" xfId="13123" xr:uid="{D8996D7F-ABC5-4032-8A78-595614BA87FE}"/>
    <cellStyle name="Comma 4 5 3" xfId="694" xr:uid="{00000000-0005-0000-0000-00003E0A0000}"/>
    <cellStyle name="Comma 4 5 3 2" xfId="2965" xr:uid="{00000000-0005-0000-0000-00003F0A0000}"/>
    <cellStyle name="Comma 4 5 3 2 2" xfId="7187" xr:uid="{00000000-0005-0000-0000-0000400A0000}"/>
    <cellStyle name="Comma 4 5 3 2 2 2" xfId="24122" xr:uid="{09A7D54E-E350-4C58-908A-719300606F76}"/>
    <cellStyle name="Comma 4 5 3 2 2 3" xfId="15681" xr:uid="{1C2CF7C8-48D1-4907-8577-F3A9BF60DCFE}"/>
    <cellStyle name="Comma 4 5 3 2 3" xfId="19904" xr:uid="{6E499B61-A73D-439E-AC30-462B7169EDBE}"/>
    <cellStyle name="Comma 4 5 3 2 4" xfId="11462" xr:uid="{CDA992C2-4EBB-4AD0-BA7E-18D60415F2B2}"/>
    <cellStyle name="Comma 4 5 3 3" xfId="5042" xr:uid="{00000000-0005-0000-0000-0000410A0000}"/>
    <cellStyle name="Comma 4 5 3 3 2" xfId="21977" xr:uid="{5905B498-1D19-4A3F-B987-AE7FBDC7A5FB}"/>
    <cellStyle name="Comma 4 5 3 3 3" xfId="13536" xr:uid="{04A170D5-A7F3-4F2C-A22E-A26C452A0446}"/>
    <cellStyle name="Comma 4 5 3 4" xfId="17759" xr:uid="{2E63FBD5-AD4F-42A9-884C-0CA55D51D41E}"/>
    <cellStyle name="Comma 4 5 3 5" xfId="9284" xr:uid="{42AEBA8A-189D-48EB-8649-E4270A175B2D}"/>
    <cellStyle name="Comma 4 5 4" xfId="1147" xr:uid="{00000000-0005-0000-0000-0000420A0000}"/>
    <cellStyle name="Comma 4 5 4 2" xfId="3378" xr:uid="{00000000-0005-0000-0000-0000430A0000}"/>
    <cellStyle name="Comma 4 5 4 2 2" xfId="7600" xr:uid="{00000000-0005-0000-0000-0000440A0000}"/>
    <cellStyle name="Comma 4 5 4 2 2 2" xfId="24535" xr:uid="{8F7594D5-23EB-4BBB-8496-10710ED4F236}"/>
    <cellStyle name="Comma 4 5 4 2 2 3" xfId="16094" xr:uid="{CE3B0FC8-E813-438F-B9E2-479D63807A19}"/>
    <cellStyle name="Comma 4 5 4 2 3" xfId="20317" xr:uid="{F6F0358F-E7F0-4359-85DF-D8AE20BD0377}"/>
    <cellStyle name="Comma 4 5 4 2 4" xfId="11875" xr:uid="{2B0D344E-4DEE-4DA0-9ADF-1BC802815AA8}"/>
    <cellStyle name="Comma 4 5 4 3" xfId="5455" xr:uid="{00000000-0005-0000-0000-0000450A0000}"/>
    <cellStyle name="Comma 4 5 4 3 2" xfId="22390" xr:uid="{E38781A5-C0AC-4051-A1E8-A14E3EA2D7D7}"/>
    <cellStyle name="Comma 4 5 4 3 3" xfId="13949" xr:uid="{0E3AAEDD-8DF9-4CF5-8458-2DDC356FD17B}"/>
    <cellStyle name="Comma 4 5 4 4" xfId="18172" xr:uid="{E4A44AE8-8C25-4FF1-B7CB-2A91FF5C2316}"/>
    <cellStyle name="Comma 4 5 4 5" xfId="9698" xr:uid="{489F8FE4-A8C9-40D5-9E89-E0D3921F6226}"/>
    <cellStyle name="Comma 4 5 5" xfId="1561" xr:uid="{00000000-0005-0000-0000-0000460A0000}"/>
    <cellStyle name="Comma 4 5 5 2" xfId="3791" xr:uid="{00000000-0005-0000-0000-0000470A0000}"/>
    <cellStyle name="Comma 4 5 5 2 2" xfId="8013" xr:uid="{00000000-0005-0000-0000-0000480A0000}"/>
    <cellStyle name="Comma 4 5 5 2 2 2" xfId="24948" xr:uid="{7918A819-BD89-4AC4-9420-CFCECC65E071}"/>
    <cellStyle name="Comma 4 5 5 2 2 3" xfId="16507" xr:uid="{2C755C39-3138-4808-A901-9EE57F9B75D5}"/>
    <cellStyle name="Comma 4 5 5 2 3" xfId="20730" xr:uid="{FA61984D-C90C-4947-ADCB-5A79AED2D93B}"/>
    <cellStyle name="Comma 4 5 5 2 4" xfId="12288" xr:uid="{D35101B3-ACEF-40EC-A99D-6BBAD168CA3E}"/>
    <cellStyle name="Comma 4 5 5 3" xfId="5868" xr:uid="{00000000-0005-0000-0000-0000490A0000}"/>
    <cellStyle name="Comma 4 5 5 3 2" xfId="22803" xr:uid="{A598E9BA-7262-407E-BBAF-CE07B43A05E4}"/>
    <cellStyle name="Comma 4 5 5 3 3" xfId="14362" xr:uid="{E5FE86EB-1A19-4E84-A9B0-F2B5E2CF09C1}"/>
    <cellStyle name="Comma 4 5 5 4" xfId="18585" xr:uid="{8BF11C4B-29E7-4EB2-AE1C-D3E3EA3F6B31}"/>
    <cellStyle name="Comma 4 5 5 5" xfId="10111" xr:uid="{8194D687-A594-4DA6-B322-D3E37C68E92A}"/>
    <cellStyle name="Comma 4 5 6" xfId="1975" xr:uid="{00000000-0005-0000-0000-00004A0A0000}"/>
    <cellStyle name="Comma 4 5 6 2" xfId="4204" xr:uid="{00000000-0005-0000-0000-00004B0A0000}"/>
    <cellStyle name="Comma 4 5 6 2 2" xfId="8426" xr:uid="{00000000-0005-0000-0000-00004C0A0000}"/>
    <cellStyle name="Comma 4 5 6 2 2 2" xfId="25361" xr:uid="{E9741B03-99BE-4290-9066-C47D4B591A39}"/>
    <cellStyle name="Comma 4 5 6 2 2 3" xfId="16920" xr:uid="{45702223-DF11-4010-9BA6-B7A2855BC30E}"/>
    <cellStyle name="Comma 4 5 6 2 3" xfId="21143" xr:uid="{A169D2CC-1073-4E91-AAF4-D53DA7F2E54A}"/>
    <cellStyle name="Comma 4 5 6 2 4" xfId="12701" xr:uid="{249BCDB2-5ECF-453C-80AC-2DC353E6C86D}"/>
    <cellStyle name="Comma 4 5 6 3" xfId="6281" xr:uid="{00000000-0005-0000-0000-00004D0A0000}"/>
    <cellStyle name="Comma 4 5 6 3 2" xfId="23216" xr:uid="{A6BE3602-377B-4F42-84D7-D7FC49245056}"/>
    <cellStyle name="Comma 4 5 6 3 3" xfId="14775" xr:uid="{3BF89D95-C086-4F4A-A1B5-A3466A5D79AB}"/>
    <cellStyle name="Comma 4 5 6 4" xfId="18998" xr:uid="{30EF20C1-324B-4862-AE10-4E0C39E1178C}"/>
    <cellStyle name="Comma 4 5 6 5" xfId="10524" xr:uid="{0901BC1D-DAA5-4407-B79D-C81E07C67B68}"/>
    <cellStyle name="Comma 4 5 7" xfId="2410" xr:uid="{00000000-0005-0000-0000-00004E0A0000}"/>
    <cellStyle name="Comma 4 5 7 2" xfId="6694" xr:uid="{00000000-0005-0000-0000-00004F0A0000}"/>
    <cellStyle name="Comma 4 5 7 2 2" xfId="23629" xr:uid="{1D1D1279-D9E4-4E03-92E9-270D1C9B065A}"/>
    <cellStyle name="Comma 4 5 7 2 3" xfId="15188" xr:uid="{EBBBD098-EA61-4788-9D59-E2C5DB70C4FC}"/>
    <cellStyle name="Comma 4 5 7 3" xfId="19411" xr:uid="{41186DD8-B016-46E0-91F8-220391C594A4}"/>
    <cellStyle name="Comma 4 5 7 4" xfId="10959" xr:uid="{3512C3BE-8B94-4D71-988A-3294FB83E713}"/>
    <cellStyle name="Comma 4 5 8" xfId="2706" xr:uid="{00000000-0005-0000-0000-0000500A0000}"/>
    <cellStyle name="Comma 4 5 8 2" xfId="11254" xr:uid="{17662B9D-D03E-4764-AB4E-A01D8E6DEBD3}"/>
    <cellStyle name="Comma 4 5 9" xfId="2788" xr:uid="{00000000-0005-0000-0000-0000510A0000}"/>
    <cellStyle name="Comma 4 5 9 2" xfId="7011" xr:uid="{00000000-0005-0000-0000-0000520A0000}"/>
    <cellStyle name="Comma 4 5 9 2 2" xfId="23946" xr:uid="{71887D0B-0550-4E7D-84D2-9F8AC147F191}"/>
    <cellStyle name="Comma 4 5 9 2 3" xfId="15505" xr:uid="{CD532D4E-1F7A-4599-80EA-9C1F36B247E0}"/>
    <cellStyle name="Comma 4 5 9 3" xfId="19728" xr:uid="{2FF352C0-C17D-4082-92E8-124B210FB66B}"/>
    <cellStyle name="Comma 4 5 9 4" xfId="11286" xr:uid="{C2CF1C2D-A97F-492B-AD0F-286BBB9F9450}"/>
    <cellStyle name="Comma 4 6" xfId="159" xr:uid="{00000000-0005-0000-0000-0000530A0000}"/>
    <cellStyle name="Comma 4 6 10" xfId="17347" xr:uid="{DF49895C-95FD-4FC5-BDDF-75BECEC327B8}"/>
    <cellStyle name="Comma 4 6 11" xfId="8869" xr:uid="{B782DE53-D65C-46E8-ADA5-B178812C47D5}"/>
    <cellStyle name="Comma 4 6 2" xfId="696" xr:uid="{00000000-0005-0000-0000-0000540A0000}"/>
    <cellStyle name="Comma 4 6 2 2" xfId="2967" xr:uid="{00000000-0005-0000-0000-0000550A0000}"/>
    <cellStyle name="Comma 4 6 2 2 2" xfId="7189" xr:uid="{00000000-0005-0000-0000-0000560A0000}"/>
    <cellStyle name="Comma 4 6 2 2 2 2" xfId="24124" xr:uid="{D55D9089-1CCC-41E8-81B3-7577F58CB3AF}"/>
    <cellStyle name="Comma 4 6 2 2 2 3" xfId="15683" xr:uid="{FC568770-EDB1-4EBA-B15E-307C89370FCF}"/>
    <cellStyle name="Comma 4 6 2 2 3" xfId="19906" xr:uid="{29561366-82F8-48C1-B576-C3BB01FD957D}"/>
    <cellStyle name="Comma 4 6 2 2 4" xfId="11464" xr:uid="{BBE2053A-A373-425D-A895-1C93661160D5}"/>
    <cellStyle name="Comma 4 6 2 3" xfId="5044" xr:uid="{00000000-0005-0000-0000-0000570A0000}"/>
    <cellStyle name="Comma 4 6 2 3 2" xfId="21979" xr:uid="{77346E8E-D753-49C9-B353-8F84F99BAFE1}"/>
    <cellStyle name="Comma 4 6 2 3 3" xfId="13538" xr:uid="{C5CDE4E3-80D2-4E3F-8CF3-8C3B2AFEB2B8}"/>
    <cellStyle name="Comma 4 6 2 4" xfId="17761" xr:uid="{79D67C53-B53B-484B-AE73-F57FE1F50393}"/>
    <cellStyle name="Comma 4 6 2 5" xfId="9286" xr:uid="{35363C24-717D-4235-95BA-61C62855AF1F}"/>
    <cellStyle name="Comma 4 6 3" xfId="1149" xr:uid="{00000000-0005-0000-0000-0000580A0000}"/>
    <cellStyle name="Comma 4 6 3 2" xfId="3380" xr:uid="{00000000-0005-0000-0000-0000590A0000}"/>
    <cellStyle name="Comma 4 6 3 2 2" xfId="7602" xr:uid="{00000000-0005-0000-0000-00005A0A0000}"/>
    <cellStyle name="Comma 4 6 3 2 2 2" xfId="24537" xr:uid="{7AAD9677-B4BE-4CAC-B279-B6665E6A377B}"/>
    <cellStyle name="Comma 4 6 3 2 2 3" xfId="16096" xr:uid="{EBF3D6F0-C792-4494-9C04-D5C4AD28A2A2}"/>
    <cellStyle name="Comma 4 6 3 2 3" xfId="20319" xr:uid="{BEF080E8-AC25-482E-95B9-6D8CB13F8C01}"/>
    <cellStyle name="Comma 4 6 3 2 4" xfId="11877" xr:uid="{83AF690C-C6CF-4C5B-88A5-59CC616FECC1}"/>
    <cellStyle name="Comma 4 6 3 3" xfId="5457" xr:uid="{00000000-0005-0000-0000-00005B0A0000}"/>
    <cellStyle name="Comma 4 6 3 3 2" xfId="22392" xr:uid="{842F8DC0-9F97-4461-88E5-537C80B078AB}"/>
    <cellStyle name="Comma 4 6 3 3 3" xfId="13951" xr:uid="{0F302F55-C8D6-4E05-A290-AC82B7D9014E}"/>
    <cellStyle name="Comma 4 6 3 4" xfId="18174" xr:uid="{776D1DD9-C0B9-4958-95EB-66A16393ADF2}"/>
    <cellStyle name="Comma 4 6 3 5" xfId="9700" xr:uid="{8B1FFD83-7CF2-4494-9BC8-8FAC3CA883E1}"/>
    <cellStyle name="Comma 4 6 4" xfId="1563" xr:uid="{00000000-0005-0000-0000-00005C0A0000}"/>
    <cellStyle name="Comma 4 6 4 2" xfId="3793" xr:uid="{00000000-0005-0000-0000-00005D0A0000}"/>
    <cellStyle name="Comma 4 6 4 2 2" xfId="8015" xr:uid="{00000000-0005-0000-0000-00005E0A0000}"/>
    <cellStyle name="Comma 4 6 4 2 2 2" xfId="24950" xr:uid="{4EEB0901-2484-40F7-98D8-DE5A7108883F}"/>
    <cellStyle name="Comma 4 6 4 2 2 3" xfId="16509" xr:uid="{06AA437F-1CD9-4484-8954-5DA52DE0E424}"/>
    <cellStyle name="Comma 4 6 4 2 3" xfId="20732" xr:uid="{0A5FFFA4-801F-4F79-BDB1-0C688BA19237}"/>
    <cellStyle name="Comma 4 6 4 2 4" xfId="12290" xr:uid="{DC25F899-E75D-4ABE-AEDF-EFB5FED1FA61}"/>
    <cellStyle name="Comma 4 6 4 3" xfId="5870" xr:uid="{00000000-0005-0000-0000-00005F0A0000}"/>
    <cellStyle name="Comma 4 6 4 3 2" xfId="22805" xr:uid="{DA96A665-3FF9-4076-AC68-FE0F31CD80DE}"/>
    <cellStyle name="Comma 4 6 4 3 3" xfId="14364" xr:uid="{892ACBB5-D0D0-4A42-9EA2-E033DA6AF8D8}"/>
    <cellStyle name="Comma 4 6 4 4" xfId="18587" xr:uid="{11EF977A-24E4-4138-BE8F-F2E69B49F7A7}"/>
    <cellStyle name="Comma 4 6 4 5" xfId="10113" xr:uid="{03163935-C042-4B04-AB44-4A53DE94C469}"/>
    <cellStyle name="Comma 4 6 5" xfId="1977" xr:uid="{00000000-0005-0000-0000-0000600A0000}"/>
    <cellStyle name="Comma 4 6 5 2" xfId="4206" xr:uid="{00000000-0005-0000-0000-0000610A0000}"/>
    <cellStyle name="Comma 4 6 5 2 2" xfId="8428" xr:uid="{00000000-0005-0000-0000-0000620A0000}"/>
    <cellStyle name="Comma 4 6 5 2 2 2" xfId="25363" xr:uid="{D049FD4C-701C-4E65-BB9D-DACD8FE6382E}"/>
    <cellStyle name="Comma 4 6 5 2 2 3" xfId="16922" xr:uid="{DB37228A-1B30-4A65-B07E-97424301A2C5}"/>
    <cellStyle name="Comma 4 6 5 2 3" xfId="21145" xr:uid="{E8E92113-A675-4F48-83F5-5CAF6E4F824E}"/>
    <cellStyle name="Comma 4 6 5 2 4" xfId="12703" xr:uid="{F02E94ED-708F-4B0D-AF00-4DD82EBA2F12}"/>
    <cellStyle name="Comma 4 6 5 3" xfId="6283" xr:uid="{00000000-0005-0000-0000-0000630A0000}"/>
    <cellStyle name="Comma 4 6 5 3 2" xfId="23218" xr:uid="{EC13989E-AB4C-4CB3-B348-A2E70FE95969}"/>
    <cellStyle name="Comma 4 6 5 3 3" xfId="14777" xr:uid="{54881978-24BB-4D94-A934-256BC5CBC83F}"/>
    <cellStyle name="Comma 4 6 5 4" xfId="19000" xr:uid="{2BC56B79-474C-443F-8FD8-4E81664BA2BD}"/>
    <cellStyle name="Comma 4 6 5 5" xfId="10526" xr:uid="{0FD4099B-2B48-4B88-9A6A-729B362430F4}"/>
    <cellStyle name="Comma 4 6 6" xfId="2412" xr:uid="{00000000-0005-0000-0000-0000640A0000}"/>
    <cellStyle name="Comma 4 6 6 2" xfId="6696" xr:uid="{00000000-0005-0000-0000-0000650A0000}"/>
    <cellStyle name="Comma 4 6 6 2 2" xfId="23631" xr:uid="{4E14262D-AF2C-4073-B960-BCB41ED2477F}"/>
    <cellStyle name="Comma 4 6 6 2 3" xfId="15190" xr:uid="{C4A3F44C-B7F5-4E25-A288-AE655F717F5B}"/>
    <cellStyle name="Comma 4 6 6 3" xfId="19413" xr:uid="{28E267D2-DF15-455B-84B5-DC39F7AC3423}"/>
    <cellStyle name="Comma 4 6 6 4" xfId="10961" xr:uid="{FDD10C04-349C-49DD-B296-B6BCF1FE282F}"/>
    <cellStyle name="Comma 4 6 7" xfId="2708" xr:uid="{00000000-0005-0000-0000-0000660A0000}"/>
    <cellStyle name="Comma 4 6 7 2" xfId="11256" xr:uid="{92A52B66-F861-448E-BE39-AFC049E11350}"/>
    <cellStyle name="Comma 4 6 8" xfId="2790" xr:uid="{00000000-0005-0000-0000-0000670A0000}"/>
    <cellStyle name="Comma 4 6 8 2" xfId="7013" xr:uid="{00000000-0005-0000-0000-0000680A0000}"/>
    <cellStyle name="Comma 4 6 8 2 2" xfId="23948" xr:uid="{4AB3AF84-DB29-4C49-8C3D-AF12A3C655F7}"/>
    <cellStyle name="Comma 4 6 8 2 3" xfId="15507" xr:uid="{DCF73E9D-0E57-484C-A302-B4E7A5C6FEA2}"/>
    <cellStyle name="Comma 4 6 8 3" xfId="19730" xr:uid="{DA82DD36-CEFA-4004-86E0-CC18ADC33726}"/>
    <cellStyle name="Comma 4 6 8 4" xfId="11288" xr:uid="{8123A05F-0C4F-41B4-828A-2C9C1673EE24}"/>
    <cellStyle name="Comma 4 6 9" xfId="4630" xr:uid="{00000000-0005-0000-0000-0000690A0000}"/>
    <cellStyle name="Comma 4 6 9 2" xfId="21565" xr:uid="{C28D3A11-5440-47EE-BBDB-BF7B1557F053}"/>
    <cellStyle name="Comma 4 6 9 3" xfId="13124" xr:uid="{87C285D1-7D61-4052-928C-1462C11ACD25}"/>
    <cellStyle name="Comma 4 7" xfId="160" xr:uid="{00000000-0005-0000-0000-00006A0A0000}"/>
    <cellStyle name="Comma 4 7 10" xfId="17348" xr:uid="{5E795BA3-85F7-4418-B675-02DE07D9EBB1}"/>
    <cellStyle name="Comma 4 7 11" xfId="8870" xr:uid="{3B333C1E-BE06-45C8-8F61-29EB34B3271A}"/>
    <cellStyle name="Comma 4 7 2" xfId="697" xr:uid="{00000000-0005-0000-0000-00006B0A0000}"/>
    <cellStyle name="Comma 4 7 2 2" xfId="2968" xr:uid="{00000000-0005-0000-0000-00006C0A0000}"/>
    <cellStyle name="Comma 4 7 2 2 2" xfId="7190" xr:uid="{00000000-0005-0000-0000-00006D0A0000}"/>
    <cellStyle name="Comma 4 7 2 2 2 2" xfId="24125" xr:uid="{8CFDB9F4-4E4A-4808-87BA-C7087A672DEA}"/>
    <cellStyle name="Comma 4 7 2 2 2 3" xfId="15684" xr:uid="{B3CF2EBA-53AD-45C2-B6F5-FA845B7E1044}"/>
    <cellStyle name="Comma 4 7 2 2 3" xfId="19907" xr:uid="{45FBF6D6-48F1-4698-A1A3-C312B7A6B96B}"/>
    <cellStyle name="Comma 4 7 2 2 4" xfId="11465" xr:uid="{DC4D4060-3111-4D28-ADAD-1E54EC6BE8E5}"/>
    <cellStyle name="Comma 4 7 2 3" xfId="5045" xr:uid="{00000000-0005-0000-0000-00006E0A0000}"/>
    <cellStyle name="Comma 4 7 2 3 2" xfId="21980" xr:uid="{8774AF8E-6BE3-4729-9B5A-852610253429}"/>
    <cellStyle name="Comma 4 7 2 3 3" xfId="13539" xr:uid="{CE6800CE-B57D-4F91-8D7D-AC482560FE12}"/>
    <cellStyle name="Comma 4 7 2 4" xfId="17762" xr:uid="{CA3B988D-FD78-47C6-8F28-F136502F00DF}"/>
    <cellStyle name="Comma 4 7 2 5" xfId="9287" xr:uid="{D71DB35F-DD31-4FE4-A190-1E1C8A33EFE3}"/>
    <cellStyle name="Comma 4 7 3" xfId="1150" xr:uid="{00000000-0005-0000-0000-00006F0A0000}"/>
    <cellStyle name="Comma 4 7 3 2" xfId="3381" xr:uid="{00000000-0005-0000-0000-0000700A0000}"/>
    <cellStyle name="Comma 4 7 3 2 2" xfId="7603" xr:uid="{00000000-0005-0000-0000-0000710A0000}"/>
    <cellStyle name="Comma 4 7 3 2 2 2" xfId="24538" xr:uid="{A48427E3-651D-4F5B-8EEC-B0D03AB719B0}"/>
    <cellStyle name="Comma 4 7 3 2 2 3" xfId="16097" xr:uid="{3FF6456A-0023-441F-A318-714DFC894589}"/>
    <cellStyle name="Comma 4 7 3 2 3" xfId="20320" xr:uid="{AA67947E-0467-4C41-8D1F-770E1CAE7EA3}"/>
    <cellStyle name="Comma 4 7 3 2 4" xfId="11878" xr:uid="{E472F29C-85E6-4F44-A5D7-939E0901D0C6}"/>
    <cellStyle name="Comma 4 7 3 3" xfId="5458" xr:uid="{00000000-0005-0000-0000-0000720A0000}"/>
    <cellStyle name="Comma 4 7 3 3 2" xfId="22393" xr:uid="{FB5CADB5-8956-4A24-AFCD-6FFBD295DAD6}"/>
    <cellStyle name="Comma 4 7 3 3 3" xfId="13952" xr:uid="{0777B2EC-E4A0-4DC4-8A68-EE5587766E0B}"/>
    <cellStyle name="Comma 4 7 3 4" xfId="18175" xr:uid="{ECF29CD1-0E73-4E83-B39B-48911561C408}"/>
    <cellStyle name="Comma 4 7 3 5" xfId="9701" xr:uid="{E98F5875-3E21-4AAD-85B7-1404A233B7CA}"/>
    <cellStyle name="Comma 4 7 4" xfId="1564" xr:uid="{00000000-0005-0000-0000-0000730A0000}"/>
    <cellStyle name="Comma 4 7 4 2" xfId="3794" xr:uid="{00000000-0005-0000-0000-0000740A0000}"/>
    <cellStyle name="Comma 4 7 4 2 2" xfId="8016" xr:uid="{00000000-0005-0000-0000-0000750A0000}"/>
    <cellStyle name="Comma 4 7 4 2 2 2" xfId="24951" xr:uid="{BFC78EC6-5E04-4ABB-9F14-32F9F4C21B36}"/>
    <cellStyle name="Comma 4 7 4 2 2 3" xfId="16510" xr:uid="{EDAA66AE-19B8-4D3D-A63C-F1B4847F1910}"/>
    <cellStyle name="Comma 4 7 4 2 3" xfId="20733" xr:uid="{99CB7F26-ED14-4C54-8665-6BE979AE30C0}"/>
    <cellStyle name="Comma 4 7 4 2 4" xfId="12291" xr:uid="{5ABAC29F-295A-4D79-8734-275F33B4E09A}"/>
    <cellStyle name="Comma 4 7 4 3" xfId="5871" xr:uid="{00000000-0005-0000-0000-0000760A0000}"/>
    <cellStyle name="Comma 4 7 4 3 2" xfId="22806" xr:uid="{F2B1F36A-B6F5-4146-A64B-BB41157FFE03}"/>
    <cellStyle name="Comma 4 7 4 3 3" xfId="14365" xr:uid="{1343D016-2BD8-4844-9CB6-2746051B3680}"/>
    <cellStyle name="Comma 4 7 4 4" xfId="18588" xr:uid="{48E88D33-0715-4D1D-BCB6-355FE54C1376}"/>
    <cellStyle name="Comma 4 7 4 5" xfId="10114" xr:uid="{5DF7F035-D3F4-4FFB-8B9A-E79BEB22E68D}"/>
    <cellStyle name="Comma 4 7 5" xfId="1978" xr:uid="{00000000-0005-0000-0000-0000770A0000}"/>
    <cellStyle name="Comma 4 7 5 2" xfId="4207" xr:uid="{00000000-0005-0000-0000-0000780A0000}"/>
    <cellStyle name="Comma 4 7 5 2 2" xfId="8429" xr:uid="{00000000-0005-0000-0000-0000790A0000}"/>
    <cellStyle name="Comma 4 7 5 2 2 2" xfId="25364" xr:uid="{063784A7-10E2-457F-855E-80DA4104D97E}"/>
    <cellStyle name="Comma 4 7 5 2 2 3" xfId="16923" xr:uid="{53E54DAD-E1DB-442F-8609-6F75DAB04A4F}"/>
    <cellStyle name="Comma 4 7 5 2 3" xfId="21146" xr:uid="{57B67111-A095-4CD1-83D3-89CF3B965EF0}"/>
    <cellStyle name="Comma 4 7 5 2 4" xfId="12704" xr:uid="{6229488C-7F44-4290-81E3-7333673A91DD}"/>
    <cellStyle name="Comma 4 7 5 3" xfId="6284" xr:uid="{00000000-0005-0000-0000-00007A0A0000}"/>
    <cellStyle name="Comma 4 7 5 3 2" xfId="23219" xr:uid="{A676007F-1077-4B46-A6CC-9695D0305C8F}"/>
    <cellStyle name="Comma 4 7 5 3 3" xfId="14778" xr:uid="{23A273C2-D56D-4A0D-AA81-0B07926B647F}"/>
    <cellStyle name="Comma 4 7 5 4" xfId="19001" xr:uid="{55B0C832-B204-444C-8E27-94E2346EF590}"/>
    <cellStyle name="Comma 4 7 5 5" xfId="10527" xr:uid="{9098989D-63DF-4EC5-B220-352E46D5F95A}"/>
    <cellStyle name="Comma 4 7 6" xfId="2413" xr:uid="{00000000-0005-0000-0000-00007B0A0000}"/>
    <cellStyle name="Comma 4 7 6 2" xfId="6697" xr:uid="{00000000-0005-0000-0000-00007C0A0000}"/>
    <cellStyle name="Comma 4 7 6 2 2" xfId="23632" xr:uid="{D66FCC00-79FA-410F-B228-23BE7FD71C3E}"/>
    <cellStyle name="Comma 4 7 6 2 3" xfId="15191" xr:uid="{654B5548-A749-4EE4-BF37-271B3C48F46B}"/>
    <cellStyle name="Comma 4 7 6 3" xfId="19414" xr:uid="{CAD960B6-43D8-4009-9FB8-98CBF3DFCED8}"/>
    <cellStyle name="Comma 4 7 6 4" xfId="10962" xr:uid="{BF2E7631-7688-4AFF-9C7C-75DD2517A4FA}"/>
    <cellStyle name="Comma 4 7 7" xfId="2709" xr:uid="{00000000-0005-0000-0000-00007D0A0000}"/>
    <cellStyle name="Comma 4 7 7 2" xfId="11257" xr:uid="{131484CB-C0C8-44B8-B9A9-11D2B7F4A3EB}"/>
    <cellStyle name="Comma 4 7 8" xfId="2791" xr:uid="{00000000-0005-0000-0000-00007E0A0000}"/>
    <cellStyle name="Comma 4 7 8 2" xfId="7014" xr:uid="{00000000-0005-0000-0000-00007F0A0000}"/>
    <cellStyle name="Comma 4 7 8 2 2" xfId="23949" xr:uid="{E007956A-2056-4325-B84D-46840BA71A24}"/>
    <cellStyle name="Comma 4 7 8 2 3" xfId="15508" xr:uid="{44AA6572-8583-4ABA-AF0F-AE3F36EE1E7F}"/>
    <cellStyle name="Comma 4 7 8 3" xfId="19731" xr:uid="{00754A2B-9A39-4EEF-ACA8-718A85C3EFB4}"/>
    <cellStyle name="Comma 4 7 8 4" xfId="11289" xr:uid="{FBEBA82A-EE83-40AB-AF61-F2C553550DC8}"/>
    <cellStyle name="Comma 4 7 9" xfId="4631" xr:uid="{00000000-0005-0000-0000-0000800A0000}"/>
    <cellStyle name="Comma 4 7 9 2" xfId="21566" xr:uid="{C1C69767-C3DC-42F9-87E1-7C26040806B6}"/>
    <cellStyle name="Comma 4 7 9 3" xfId="13125" xr:uid="{2AC49ECD-FA98-4490-BF50-7E75FAD1D47B}"/>
    <cellStyle name="Comma 4 8" xfId="8835" xr:uid="{46AC4474-C0DD-47C8-BB37-AB72CB186274}"/>
    <cellStyle name="Comma 5" xfId="161" xr:uid="{00000000-0005-0000-0000-0000810A0000}"/>
    <cellStyle name="Comma 5 2" xfId="162" xr:uid="{00000000-0005-0000-0000-0000820A0000}"/>
    <cellStyle name="Comma 5 2 2" xfId="698" xr:uid="{00000000-0005-0000-0000-0000830A0000}"/>
    <cellStyle name="Comma 5 2 2 2" xfId="9288" xr:uid="{ECDD29FA-E12F-401B-9CC6-8036578AFD23}"/>
    <cellStyle name="Comma 5 2 3" xfId="8872" xr:uid="{676787B4-5FA0-4CED-B281-50757EB85B13}"/>
    <cellStyle name="Comma 5 3" xfId="8871" xr:uid="{9195057C-C9DE-4B95-9944-215C441BC044}"/>
    <cellStyle name="Comma 6" xfId="163" xr:uid="{00000000-0005-0000-0000-0000840A0000}"/>
    <cellStyle name="Comma 6 2" xfId="8873" xr:uid="{7A7CECE5-384B-4EFF-B04B-ED1ED31FC237}"/>
    <cellStyle name="Comma 7" xfId="4498" xr:uid="{00000000-0005-0000-0000-0000850A0000}"/>
    <cellStyle name="Comma 7 2" xfId="21434" xr:uid="{65C24E4C-F7B6-4C4D-AE2B-DC28C16BC7B6}"/>
    <cellStyle name="Comma 7 3" xfId="12992" xr:uid="{33CDE421-BAD7-4998-883C-E1FB57ABA856}"/>
    <cellStyle name="Comma 8" xfId="12997" xr:uid="{84A8AED1-D74C-49C8-A12B-AA84E0ACAC14}"/>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5651" xr:uid="{D08A0CCB-CE82-4068-ABE9-5DE245CE0F3A}"/>
    <cellStyle name="Currency 14 2 3" xfId="17210" xr:uid="{3F8F72FD-A435-4515-9CBC-816B4F8D3258}"/>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3" xfId="25660" xr:uid="{F7BCAF84-5097-4ABD-A806-5968CE6D82AD}"/>
    <cellStyle name="Currency 14 3 2 2 3" xfId="17219" xr:uid="{0F94DEBC-4985-42E9-914D-DC55A7C1099C}"/>
    <cellStyle name="Currency 14 3 2 3" xfId="25657" xr:uid="{1AF6B946-37B5-424E-89FB-2B8C2F7C9ED8}"/>
    <cellStyle name="Currency 14 3 2 4" xfId="17216" xr:uid="{51B0E4DE-1C14-477B-9E0C-A76E92F89050}"/>
    <cellStyle name="Currency 14 3 3" xfId="25654" xr:uid="{E33920FE-0158-438A-8785-034B6B685CE9}"/>
    <cellStyle name="Currency 14 3 4" xfId="17213" xr:uid="{A2E274D7-AEAE-4A01-85ED-82F21A4EFBC8}"/>
    <cellStyle name="Currency 14 4" xfId="21437" xr:uid="{DD4BAAC1-944E-4676-BB82-90628AF82218}"/>
    <cellStyle name="Currency 14 5" xfId="12995" xr:uid="{11F32458-F13F-4BEC-9F64-2C1AD41664B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3950" xr:uid="{570EDFCC-776E-49BD-B389-B80F81B09B36}"/>
    <cellStyle name="Currency 3 2 2 10 2 3" xfId="15509" xr:uid="{DDBF4680-F058-49F9-9D52-610388440C48}"/>
    <cellStyle name="Currency 3 2 2 10 3" xfId="19732" xr:uid="{26C10558-1CDE-4DD4-93CD-1F1A834FC1E7}"/>
    <cellStyle name="Currency 3 2 2 10 4" xfId="11290" xr:uid="{2AFEB9A3-D566-47EC-81E2-F8863CD72E85}"/>
    <cellStyle name="Currency 3 2 2 11" xfId="4632" xr:uid="{00000000-0005-0000-0000-0000A50A0000}"/>
    <cellStyle name="Currency 3 2 2 11 2" xfId="21567" xr:uid="{9AB6A2F6-A4B7-4E41-8D1D-475EB8623100}"/>
    <cellStyle name="Currency 3 2 2 11 3" xfId="13126" xr:uid="{7A4E6BBB-BCF5-4939-AC23-4CA941060BF4}"/>
    <cellStyle name="Currency 3 2 2 12" xfId="17349" xr:uid="{96C74642-B2D7-488F-8C5D-22AFD296B7EF}"/>
    <cellStyle name="Currency 3 2 2 13" xfId="8874" xr:uid="{7F7C70DD-81A7-4CA0-BBCE-0022B487799D}"/>
    <cellStyle name="Currency 3 2 2 2" xfId="179" xr:uid="{00000000-0005-0000-0000-0000A60A0000}"/>
    <cellStyle name="Currency 3 2 2 2 10" xfId="4633" xr:uid="{00000000-0005-0000-0000-0000A70A0000}"/>
    <cellStyle name="Currency 3 2 2 2 10 2" xfId="21568" xr:uid="{371A87C4-4E0B-4315-9312-8DCA68C9C566}"/>
    <cellStyle name="Currency 3 2 2 2 10 3" xfId="13127" xr:uid="{1EE4C505-DCB0-40E8-8E07-5B9268A78E93}"/>
    <cellStyle name="Currency 3 2 2 2 11" xfId="17350" xr:uid="{011A49DD-9A7F-4417-891F-24B78A635247}"/>
    <cellStyle name="Currency 3 2 2 2 12" xfId="8875" xr:uid="{B07994F5-74E1-4E57-AEB8-B1136F385CF1}"/>
    <cellStyle name="Currency 3 2 2 2 2" xfId="180" xr:uid="{00000000-0005-0000-0000-0000A80A0000}"/>
    <cellStyle name="Currency 3 2 2 2 2 10" xfId="17351" xr:uid="{12940C8D-B8D7-4D68-B406-2BD980F94694}"/>
    <cellStyle name="Currency 3 2 2 2 2 11" xfId="8876" xr:uid="{26BDACDC-BEE4-459C-9EAA-61EBA04BE533}"/>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128" xr:uid="{AE5D0ED7-2C27-49AC-B70C-1F9BFB42AE6B}"/>
    <cellStyle name="Currency 3 2 2 2 2 2 2 2 3" xfId="15687" xr:uid="{CF955607-6501-4681-B98A-C27B79FEE794}"/>
    <cellStyle name="Currency 3 2 2 2 2 2 2 3" xfId="19910" xr:uid="{54C68249-2939-461B-AA04-82E83EA3C45D}"/>
    <cellStyle name="Currency 3 2 2 2 2 2 2 4" xfId="11468" xr:uid="{9A586221-D78F-41D7-9343-0398499614BC}"/>
    <cellStyle name="Currency 3 2 2 2 2 2 3" xfId="5048" xr:uid="{00000000-0005-0000-0000-0000AC0A0000}"/>
    <cellStyle name="Currency 3 2 2 2 2 2 3 2" xfId="21983" xr:uid="{C96BDF8A-F719-4734-84C8-4EDD5A9C6622}"/>
    <cellStyle name="Currency 3 2 2 2 2 2 3 3" xfId="13542" xr:uid="{FD34E106-BE31-456C-AA7C-E24F181595F5}"/>
    <cellStyle name="Currency 3 2 2 2 2 2 4" xfId="17765" xr:uid="{74F0DC5E-514B-40EA-A95B-FDD57544F7E5}"/>
    <cellStyle name="Currency 3 2 2 2 2 2 5" xfId="9291" xr:uid="{453A8121-20BC-42EE-BE7F-81FBBCD935E1}"/>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4541" xr:uid="{720B01E5-0091-4733-A0D2-85441CC5F972}"/>
    <cellStyle name="Currency 3 2 2 2 2 3 2 2 3" xfId="16100" xr:uid="{5A33DF65-223E-42AE-BCEB-1EE9B58EF35C}"/>
    <cellStyle name="Currency 3 2 2 2 2 3 2 3" xfId="20323" xr:uid="{EE7B4E3C-23F2-49F2-BAD1-269B60200936}"/>
    <cellStyle name="Currency 3 2 2 2 2 3 2 4" xfId="11881" xr:uid="{2E559BF1-1E4F-41DC-A13B-79C8184F7517}"/>
    <cellStyle name="Currency 3 2 2 2 2 3 3" xfId="5461" xr:uid="{00000000-0005-0000-0000-0000B00A0000}"/>
    <cellStyle name="Currency 3 2 2 2 2 3 3 2" xfId="22396" xr:uid="{33A4DFD2-1E40-4232-AF7F-11D0E33F5959}"/>
    <cellStyle name="Currency 3 2 2 2 2 3 3 3" xfId="13955" xr:uid="{335E7684-8E84-4A2D-A5AC-F92CF8F7775A}"/>
    <cellStyle name="Currency 3 2 2 2 2 3 4" xfId="18178" xr:uid="{BBBE7963-3407-4024-9736-122F634883DD}"/>
    <cellStyle name="Currency 3 2 2 2 2 3 5" xfId="9704" xr:uid="{BCD2DAEB-0869-462E-A154-D051C0E82A52}"/>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4954" xr:uid="{272948B3-1FE4-45B9-A12E-5EE0108C38DB}"/>
    <cellStyle name="Currency 3 2 2 2 2 4 2 2 3" xfId="16513" xr:uid="{F255194E-7034-4372-8548-BA576D823C34}"/>
    <cellStyle name="Currency 3 2 2 2 2 4 2 3" xfId="20736" xr:uid="{39626575-A510-4C6E-9888-4EC5BAA06CC4}"/>
    <cellStyle name="Currency 3 2 2 2 2 4 2 4" xfId="12294" xr:uid="{F3E28D19-744B-4238-AC2A-F8F4ECFCF23C}"/>
    <cellStyle name="Currency 3 2 2 2 2 4 3" xfId="5874" xr:uid="{00000000-0005-0000-0000-0000B40A0000}"/>
    <cellStyle name="Currency 3 2 2 2 2 4 3 2" xfId="22809" xr:uid="{5E8AB218-CE24-449A-8790-C7CA2B52D62D}"/>
    <cellStyle name="Currency 3 2 2 2 2 4 3 3" xfId="14368" xr:uid="{3FEC5A6D-4716-49C5-887A-AC1ADB886790}"/>
    <cellStyle name="Currency 3 2 2 2 2 4 4" xfId="18591" xr:uid="{7FC6C1F0-38AC-4780-948F-1545404C74BD}"/>
    <cellStyle name="Currency 3 2 2 2 2 4 5" xfId="10117" xr:uid="{303C467B-3457-47BD-B24F-5DB30E5D8EB1}"/>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5367" xr:uid="{E27D89E2-A3EF-42B8-9BF4-679B04DF40DC}"/>
    <cellStyle name="Currency 3 2 2 2 2 5 2 2 3" xfId="16926" xr:uid="{81BC0088-0DF5-4F58-AB99-336273E06BC8}"/>
    <cellStyle name="Currency 3 2 2 2 2 5 2 3" xfId="21149" xr:uid="{6C8CDA6F-726B-48A5-B9FA-6FAD6459A84C}"/>
    <cellStyle name="Currency 3 2 2 2 2 5 2 4" xfId="12707" xr:uid="{F55790D3-3296-4A4C-A4BD-FB08B84B2611}"/>
    <cellStyle name="Currency 3 2 2 2 2 5 3" xfId="6287" xr:uid="{00000000-0005-0000-0000-0000B80A0000}"/>
    <cellStyle name="Currency 3 2 2 2 2 5 3 2" xfId="23222" xr:uid="{628AE5FE-DEB2-44EC-964B-1752726F4176}"/>
    <cellStyle name="Currency 3 2 2 2 2 5 3 3" xfId="14781" xr:uid="{9AC62222-1AB6-4B2B-9B91-36985DC86808}"/>
    <cellStyle name="Currency 3 2 2 2 2 5 4" xfId="19004" xr:uid="{A256B531-57CF-499F-A790-03A957D1A2DF}"/>
    <cellStyle name="Currency 3 2 2 2 2 5 5" xfId="10530" xr:uid="{E3462A57-AFBF-4215-BBCE-B5D3F5E1D6AA}"/>
    <cellStyle name="Currency 3 2 2 2 2 6" xfId="2416" xr:uid="{00000000-0005-0000-0000-0000B90A0000}"/>
    <cellStyle name="Currency 3 2 2 2 2 6 2" xfId="6700" xr:uid="{00000000-0005-0000-0000-0000BA0A0000}"/>
    <cellStyle name="Currency 3 2 2 2 2 6 2 2" xfId="23635" xr:uid="{F4B695CF-D67B-4CD8-9699-186CD78DFBF0}"/>
    <cellStyle name="Currency 3 2 2 2 2 6 2 3" xfId="15194" xr:uid="{BDFF6384-EC2C-4A39-93D3-A7E5A1069EA6}"/>
    <cellStyle name="Currency 3 2 2 2 2 6 3" xfId="19417" xr:uid="{8EDA21E0-D668-454A-9156-3CE49B2D150D}"/>
    <cellStyle name="Currency 3 2 2 2 2 6 4" xfId="10965" xr:uid="{B206FE53-10C9-4D9E-B8AB-04A8873E2EFE}"/>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3952" xr:uid="{37785A42-B5C0-48E2-8D1F-415ADB12A749}"/>
    <cellStyle name="Currency 3 2 2 2 2 8 2 3" xfId="15511" xr:uid="{0ACC2685-C96B-41B5-8EE1-EE317778A41C}"/>
    <cellStyle name="Currency 3 2 2 2 2 8 3" xfId="19734" xr:uid="{DD71331B-CCB4-4881-9D2C-135CF649752E}"/>
    <cellStyle name="Currency 3 2 2 2 2 8 4" xfId="11292" xr:uid="{BEA17F66-2E2C-4517-BF08-5E7D808CA89F}"/>
    <cellStyle name="Currency 3 2 2 2 2 9" xfId="4634" xr:uid="{00000000-0005-0000-0000-0000BE0A0000}"/>
    <cellStyle name="Currency 3 2 2 2 2 9 2" xfId="21569" xr:uid="{49A2C0A3-0E17-4022-BF74-984C6CF692E5}"/>
    <cellStyle name="Currency 3 2 2 2 2 9 3" xfId="13128" xr:uid="{006C4CD6-6475-4E44-9A36-237ADE8C9314}"/>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127" xr:uid="{AD83A0A6-1AB8-4D22-A5AD-F70523D112FC}"/>
    <cellStyle name="Currency 3 2 2 2 3 2 2 3" xfId="15686" xr:uid="{DC2D55BA-F798-4D00-B26F-B543B6F8DEFA}"/>
    <cellStyle name="Currency 3 2 2 2 3 2 3" xfId="19909" xr:uid="{A31B9942-CA95-4EB0-8044-70653A6FD710}"/>
    <cellStyle name="Currency 3 2 2 2 3 2 4" xfId="11467" xr:uid="{EE195EC3-606B-43CD-A3F0-68284A6A9859}"/>
    <cellStyle name="Currency 3 2 2 2 3 3" xfId="5047" xr:uid="{00000000-0005-0000-0000-0000C20A0000}"/>
    <cellStyle name="Currency 3 2 2 2 3 3 2" xfId="21982" xr:uid="{496305D6-4246-4677-A945-B2F8AE659D8B}"/>
    <cellStyle name="Currency 3 2 2 2 3 3 3" xfId="13541" xr:uid="{8A8C8D1E-A81B-43B1-B51D-F860316A2E61}"/>
    <cellStyle name="Currency 3 2 2 2 3 4" xfId="17764" xr:uid="{1A9E1905-4A98-4BDC-833F-E9CD42ED5AE4}"/>
    <cellStyle name="Currency 3 2 2 2 3 5" xfId="9290" xr:uid="{AEB5FB82-ED99-47D2-B4E5-918B5970823B}"/>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4540" xr:uid="{9DDF54C0-33A9-4F4C-A2FF-C4FB3EC6834D}"/>
    <cellStyle name="Currency 3 2 2 2 4 2 2 3" xfId="16099" xr:uid="{CA5D21ED-6314-4726-896D-FE91410F281C}"/>
    <cellStyle name="Currency 3 2 2 2 4 2 3" xfId="20322" xr:uid="{C741FB29-F782-492B-97A9-BA0007CF22AC}"/>
    <cellStyle name="Currency 3 2 2 2 4 2 4" xfId="11880" xr:uid="{3B8DB1B1-02B3-4FE6-884A-9A805EAF0BA9}"/>
    <cellStyle name="Currency 3 2 2 2 4 3" xfId="5460" xr:uid="{00000000-0005-0000-0000-0000C60A0000}"/>
    <cellStyle name="Currency 3 2 2 2 4 3 2" xfId="22395" xr:uid="{61FB0D3C-75E1-444B-931B-7B597C842226}"/>
    <cellStyle name="Currency 3 2 2 2 4 3 3" xfId="13954" xr:uid="{572012BD-88BD-4D9C-A5FF-9957394B496C}"/>
    <cellStyle name="Currency 3 2 2 2 4 4" xfId="18177" xr:uid="{879DD286-2414-433B-9ED0-DED679EAB2C1}"/>
    <cellStyle name="Currency 3 2 2 2 4 5" xfId="9703" xr:uid="{A6E4DFBF-181C-490B-8FFA-3D30F73029AA}"/>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4953" xr:uid="{52A9B4F2-B0C0-42E0-9E42-16D3B09784DC}"/>
    <cellStyle name="Currency 3 2 2 2 5 2 2 3" xfId="16512" xr:uid="{5194C636-CBE8-467B-A55A-6D5E998F902E}"/>
    <cellStyle name="Currency 3 2 2 2 5 2 3" xfId="20735" xr:uid="{73AFB780-CE27-4F8C-B931-73D540F97751}"/>
    <cellStyle name="Currency 3 2 2 2 5 2 4" xfId="12293" xr:uid="{C2929BB9-B514-4ACC-80E0-C91BFBE388CA}"/>
    <cellStyle name="Currency 3 2 2 2 5 3" xfId="5873" xr:uid="{00000000-0005-0000-0000-0000CA0A0000}"/>
    <cellStyle name="Currency 3 2 2 2 5 3 2" xfId="22808" xr:uid="{0F92029A-0FD8-46E5-9565-BBE1DA853340}"/>
    <cellStyle name="Currency 3 2 2 2 5 3 3" xfId="14367" xr:uid="{13DD2F7F-E7DE-4388-9372-DF1CEF822C4C}"/>
    <cellStyle name="Currency 3 2 2 2 5 4" xfId="18590" xr:uid="{F449C4E6-B42A-4A39-A4F3-B74BBE117ADB}"/>
    <cellStyle name="Currency 3 2 2 2 5 5" xfId="10116" xr:uid="{0A49F420-95DA-4568-8C9F-5CF664B8DBA6}"/>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5366" xr:uid="{1207E4A1-C667-419A-A702-51D5D18F019E}"/>
    <cellStyle name="Currency 3 2 2 2 6 2 2 3" xfId="16925" xr:uid="{174B4102-DA76-438F-8602-EEC7793908E8}"/>
    <cellStyle name="Currency 3 2 2 2 6 2 3" xfId="21148" xr:uid="{22DAF380-6F86-48C0-82E2-703E2486F6DD}"/>
    <cellStyle name="Currency 3 2 2 2 6 2 4" xfId="12706" xr:uid="{E46908A7-11A2-4643-A56F-39697227A0EA}"/>
    <cellStyle name="Currency 3 2 2 2 6 3" xfId="6286" xr:uid="{00000000-0005-0000-0000-0000CE0A0000}"/>
    <cellStyle name="Currency 3 2 2 2 6 3 2" xfId="23221" xr:uid="{FB6FC646-FCCE-424F-B856-45C4D5EA203B}"/>
    <cellStyle name="Currency 3 2 2 2 6 3 3" xfId="14780" xr:uid="{CCED9EFC-2A48-4A07-81EB-D96A0383F7E9}"/>
    <cellStyle name="Currency 3 2 2 2 6 4" xfId="19003" xr:uid="{1DC673BC-06BC-4ECD-B130-B823FA639DAC}"/>
    <cellStyle name="Currency 3 2 2 2 6 5" xfId="10529" xr:uid="{51007DA8-749D-4803-BE1F-D802E1013838}"/>
    <cellStyle name="Currency 3 2 2 2 7" xfId="2415" xr:uid="{00000000-0005-0000-0000-0000CF0A0000}"/>
    <cellStyle name="Currency 3 2 2 2 7 2" xfId="6699" xr:uid="{00000000-0005-0000-0000-0000D00A0000}"/>
    <cellStyle name="Currency 3 2 2 2 7 2 2" xfId="23634" xr:uid="{082D4FF2-A103-41D4-A23B-AE07FA2C6C33}"/>
    <cellStyle name="Currency 3 2 2 2 7 2 3" xfId="15193" xr:uid="{7EAF3B98-26C3-43F9-A582-DD34BDD17F64}"/>
    <cellStyle name="Currency 3 2 2 2 7 3" xfId="19416" xr:uid="{F4013342-946D-4770-ABF6-0A53F6D0DC6C}"/>
    <cellStyle name="Currency 3 2 2 2 7 4" xfId="10964" xr:uid="{2B8CEBCC-0441-480D-A68D-71A4B4610BB3}"/>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3951" xr:uid="{7AE5C0FD-2ED9-43DE-A86E-37F8B75D2129}"/>
    <cellStyle name="Currency 3 2 2 2 9 2 3" xfId="15510" xr:uid="{A6500483-50E8-4D4F-A6AF-1AF18128E83B}"/>
    <cellStyle name="Currency 3 2 2 2 9 3" xfId="19733" xr:uid="{8F1FA362-DB31-4113-B431-E09E213D8FBC}"/>
    <cellStyle name="Currency 3 2 2 2 9 4" xfId="11291" xr:uid="{0D957472-665A-40EF-ABD5-3B632BCA4489}"/>
    <cellStyle name="Currency 3 2 2 3" xfId="181" xr:uid="{00000000-0005-0000-0000-0000D40A0000}"/>
    <cellStyle name="Currency 3 2 2 3 10" xfId="17352" xr:uid="{52A1724C-D812-4E85-9B92-F340DA9DE8EE}"/>
    <cellStyle name="Currency 3 2 2 3 11" xfId="8877" xr:uid="{83A40158-056A-45F1-A9C5-52EAD3E12909}"/>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129" xr:uid="{00E27455-E5BB-402A-B01B-4E3F2CDC744A}"/>
    <cellStyle name="Currency 3 2 2 3 2 2 2 3" xfId="15688" xr:uid="{6FE0A963-5E27-46D8-AB54-9A05081A21D3}"/>
    <cellStyle name="Currency 3 2 2 3 2 2 3" xfId="19911" xr:uid="{6DBB3737-463F-4616-A604-C31F5906EDD2}"/>
    <cellStyle name="Currency 3 2 2 3 2 2 4" xfId="11469" xr:uid="{4D580EFD-D121-4077-97CF-64C4F7B6447C}"/>
    <cellStyle name="Currency 3 2 2 3 2 3" xfId="5049" xr:uid="{00000000-0005-0000-0000-0000D80A0000}"/>
    <cellStyle name="Currency 3 2 2 3 2 3 2" xfId="21984" xr:uid="{EA7CFEC8-F7AE-4D80-8DF5-77D8BBCE9BE6}"/>
    <cellStyle name="Currency 3 2 2 3 2 3 3" xfId="13543" xr:uid="{AD8118A2-C76E-4E14-859D-75872683BE75}"/>
    <cellStyle name="Currency 3 2 2 3 2 4" xfId="17766" xr:uid="{AAC1716B-7CC8-4994-A86E-650C0DD31CA6}"/>
    <cellStyle name="Currency 3 2 2 3 2 5" xfId="9292" xr:uid="{C0F922BE-F0A9-4610-B4BB-CCF619ACDC5C}"/>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4542" xr:uid="{9AF0E0DC-B1D5-4688-B046-A06227B84798}"/>
    <cellStyle name="Currency 3 2 2 3 3 2 2 3" xfId="16101" xr:uid="{88DC2EE0-081C-482F-BBED-1C4924D45DB5}"/>
    <cellStyle name="Currency 3 2 2 3 3 2 3" xfId="20324" xr:uid="{EA93B027-7505-4001-8197-1CD27D10D108}"/>
    <cellStyle name="Currency 3 2 2 3 3 2 4" xfId="11882" xr:uid="{63938D16-786B-42A1-9BD2-DE9A8C7A5455}"/>
    <cellStyle name="Currency 3 2 2 3 3 3" xfId="5462" xr:uid="{00000000-0005-0000-0000-0000DC0A0000}"/>
    <cellStyle name="Currency 3 2 2 3 3 3 2" xfId="22397" xr:uid="{B96C9469-4AEA-4B17-8DEB-503FC992C064}"/>
    <cellStyle name="Currency 3 2 2 3 3 3 3" xfId="13956" xr:uid="{C7A76807-28E5-4232-BDA6-13AD4A036D6E}"/>
    <cellStyle name="Currency 3 2 2 3 3 4" xfId="18179" xr:uid="{419B6E22-F0CB-4DB9-8382-23C3EED2EF69}"/>
    <cellStyle name="Currency 3 2 2 3 3 5" xfId="9705" xr:uid="{A3BA447A-0238-4CDF-B4B1-37FC883B4A98}"/>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4955" xr:uid="{90E981FC-CE45-4C98-BAF1-8C9F400B7CD9}"/>
    <cellStyle name="Currency 3 2 2 3 4 2 2 3" xfId="16514" xr:uid="{9AC23BAD-C99E-4C4F-80A6-04B05B03CD43}"/>
    <cellStyle name="Currency 3 2 2 3 4 2 3" xfId="20737" xr:uid="{A6FB461A-B0AD-4DAD-9919-0B5DDB712CD1}"/>
    <cellStyle name="Currency 3 2 2 3 4 2 4" xfId="12295" xr:uid="{4F944F6A-D3C2-43BB-BA20-1F8B8D0CC60B}"/>
    <cellStyle name="Currency 3 2 2 3 4 3" xfId="5875" xr:uid="{00000000-0005-0000-0000-0000E00A0000}"/>
    <cellStyle name="Currency 3 2 2 3 4 3 2" xfId="22810" xr:uid="{EE27EAFA-51D3-46FA-8828-1E83E4B30B44}"/>
    <cellStyle name="Currency 3 2 2 3 4 3 3" xfId="14369" xr:uid="{5CF70E22-48FC-4194-AAD3-988620265905}"/>
    <cellStyle name="Currency 3 2 2 3 4 4" xfId="18592" xr:uid="{E80495A5-4B6F-4810-B75B-5DAC540C8888}"/>
    <cellStyle name="Currency 3 2 2 3 4 5" xfId="10118" xr:uid="{360FC7DB-325A-49C9-8183-28015694D16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5368" xr:uid="{04D7664E-FF7D-4764-B44A-8DA2251A72D9}"/>
    <cellStyle name="Currency 3 2 2 3 5 2 2 3" xfId="16927" xr:uid="{38F69014-B641-42D0-98D7-127FED021C2C}"/>
    <cellStyle name="Currency 3 2 2 3 5 2 3" xfId="21150" xr:uid="{BA21C566-3A81-4BB0-9473-75ED85B7CBE4}"/>
    <cellStyle name="Currency 3 2 2 3 5 2 4" xfId="12708" xr:uid="{E3ED250D-9672-43AF-8E1B-98477B90D351}"/>
    <cellStyle name="Currency 3 2 2 3 5 3" xfId="6288" xr:uid="{00000000-0005-0000-0000-0000E40A0000}"/>
    <cellStyle name="Currency 3 2 2 3 5 3 2" xfId="23223" xr:uid="{A8C8772D-120D-442B-9327-4D86B7646875}"/>
    <cellStyle name="Currency 3 2 2 3 5 3 3" xfId="14782" xr:uid="{27ACBEDF-66B4-4346-8051-7BA418DAEC38}"/>
    <cellStyle name="Currency 3 2 2 3 5 4" xfId="19005" xr:uid="{7044BCA3-C1FB-4E7B-AFDE-67E94D8B7CBF}"/>
    <cellStyle name="Currency 3 2 2 3 5 5" xfId="10531" xr:uid="{F36774B6-A502-4B5D-87AF-D7576CCA1CA5}"/>
    <cellStyle name="Currency 3 2 2 3 6" xfId="2417" xr:uid="{00000000-0005-0000-0000-0000E50A0000}"/>
    <cellStyle name="Currency 3 2 2 3 6 2" xfId="6701" xr:uid="{00000000-0005-0000-0000-0000E60A0000}"/>
    <cellStyle name="Currency 3 2 2 3 6 2 2" xfId="23636" xr:uid="{6DD54BF2-F656-469E-9FC9-1D25497B3FD2}"/>
    <cellStyle name="Currency 3 2 2 3 6 2 3" xfId="15195" xr:uid="{B894191D-86D0-4FA1-A847-47E9D6E69EA7}"/>
    <cellStyle name="Currency 3 2 2 3 6 3" xfId="19418" xr:uid="{EC5A6005-0BD2-433F-9F02-6D71611F4077}"/>
    <cellStyle name="Currency 3 2 2 3 6 4" xfId="10966" xr:uid="{1FCE13A4-DC4A-47C8-A327-2A3731B04F8E}"/>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3953" xr:uid="{B9F5061E-6568-4E43-B4F9-4861E091736A}"/>
    <cellStyle name="Currency 3 2 2 3 8 2 3" xfId="15512" xr:uid="{7A3B3278-4FD3-4624-AA84-84BF8F2353C7}"/>
    <cellStyle name="Currency 3 2 2 3 8 3" xfId="19735" xr:uid="{FC69CBA7-F305-49BC-9FCF-645BC6E1C712}"/>
    <cellStyle name="Currency 3 2 2 3 8 4" xfId="11293" xr:uid="{10971977-FAFC-44F5-B4AC-65F4D96D4C3F}"/>
    <cellStyle name="Currency 3 2 2 3 9" xfId="4635" xr:uid="{00000000-0005-0000-0000-0000EA0A0000}"/>
    <cellStyle name="Currency 3 2 2 3 9 2" xfId="21570" xr:uid="{BD1C020B-6E15-4EDA-B865-E02EE23178C4}"/>
    <cellStyle name="Currency 3 2 2 3 9 3" xfId="13129" xr:uid="{61F7C91A-887D-43DC-9161-948F569D8592}"/>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126" xr:uid="{F07271BC-E857-4958-B3EE-205D15B602AB}"/>
    <cellStyle name="Currency 3 2 2 4 2 2 3" xfId="15685" xr:uid="{54E529A9-AF5F-4C7C-9C4B-CA54678A7D1E}"/>
    <cellStyle name="Currency 3 2 2 4 2 3" xfId="19908" xr:uid="{3D0AD138-5D56-41AB-A7C1-ABE1665DBEB3}"/>
    <cellStyle name="Currency 3 2 2 4 2 4" xfId="11466" xr:uid="{079FA0A7-0B35-4B50-8503-AB9C21C697C7}"/>
    <cellStyle name="Currency 3 2 2 4 3" xfId="5046" xr:uid="{00000000-0005-0000-0000-0000EE0A0000}"/>
    <cellStyle name="Currency 3 2 2 4 3 2" xfId="21981" xr:uid="{8DA20B6A-EC35-46B4-A675-F0056A9C4E17}"/>
    <cellStyle name="Currency 3 2 2 4 3 3" xfId="13540" xr:uid="{EC4BE255-ECCD-466E-95AF-DBA8C699FF6A}"/>
    <cellStyle name="Currency 3 2 2 4 4" xfId="17763" xr:uid="{9477AA58-7D19-4AA2-85C1-97B53ED95C30}"/>
    <cellStyle name="Currency 3 2 2 4 5" xfId="9289" xr:uid="{3C5CA971-8559-4DAA-9921-4A01B7FE6D7A}"/>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4539" xr:uid="{5E69AE53-C43C-491F-88DB-A5DD3DA9A7C3}"/>
    <cellStyle name="Currency 3 2 2 5 2 2 3" xfId="16098" xr:uid="{D075A9DA-1EF0-45BA-B007-56870C8AED86}"/>
    <cellStyle name="Currency 3 2 2 5 2 3" xfId="20321" xr:uid="{7409387F-EAAC-4AAB-A351-389936E94D7C}"/>
    <cellStyle name="Currency 3 2 2 5 2 4" xfId="11879" xr:uid="{64A3175C-3523-4A36-A1C6-A3F3FE21B2F6}"/>
    <cellStyle name="Currency 3 2 2 5 3" xfId="5459" xr:uid="{00000000-0005-0000-0000-0000F20A0000}"/>
    <cellStyle name="Currency 3 2 2 5 3 2" xfId="22394" xr:uid="{DC51AA40-F0B8-4E1B-8305-3C0CAA771E9D}"/>
    <cellStyle name="Currency 3 2 2 5 3 3" xfId="13953" xr:uid="{55FC413A-04BA-4A8C-897F-F0BB028D2E2E}"/>
    <cellStyle name="Currency 3 2 2 5 4" xfId="18176" xr:uid="{DD0FA976-B6A9-4D43-B4CD-A5E44D3D0605}"/>
    <cellStyle name="Currency 3 2 2 5 5" xfId="9702" xr:uid="{D64D4680-D155-4943-94B1-28CBA290DB7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4952" xr:uid="{6936B873-0382-4700-943B-186CB4B975CA}"/>
    <cellStyle name="Currency 3 2 2 6 2 2 3" xfId="16511" xr:uid="{07D0DF08-7030-44B1-A2CB-2706F8B9F19F}"/>
    <cellStyle name="Currency 3 2 2 6 2 3" xfId="20734" xr:uid="{9D55D1F9-0AE0-42C5-9A52-AF45165AB5F3}"/>
    <cellStyle name="Currency 3 2 2 6 2 4" xfId="12292" xr:uid="{D76A2FAC-2CF1-408C-9825-BB389C26A607}"/>
    <cellStyle name="Currency 3 2 2 6 3" xfId="5872" xr:uid="{00000000-0005-0000-0000-0000F60A0000}"/>
    <cellStyle name="Currency 3 2 2 6 3 2" xfId="22807" xr:uid="{5E6E66DC-8A71-4D7C-B65D-C04F8C4C8D52}"/>
    <cellStyle name="Currency 3 2 2 6 3 3" xfId="14366" xr:uid="{41770364-C74C-4629-8D12-8C1DAACFD1E4}"/>
    <cellStyle name="Currency 3 2 2 6 4" xfId="18589" xr:uid="{1B480C5E-C11A-4E49-88FF-AD927ED3EC93}"/>
    <cellStyle name="Currency 3 2 2 6 5" xfId="10115" xr:uid="{07474FB6-0188-4AF0-ABEB-F928901D395A}"/>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5365" xr:uid="{B712A477-E9A6-4D5D-953F-77E3298C36C9}"/>
    <cellStyle name="Currency 3 2 2 7 2 2 3" xfId="16924" xr:uid="{0C5D8C91-C04E-4D2C-88C5-EE8927D7373F}"/>
    <cellStyle name="Currency 3 2 2 7 2 3" xfId="21147" xr:uid="{E085A906-CF9D-4060-8969-CDDC31940CE9}"/>
    <cellStyle name="Currency 3 2 2 7 2 4" xfId="12705" xr:uid="{6B979907-737B-498B-BDCA-71D056BB1ADC}"/>
    <cellStyle name="Currency 3 2 2 7 3" xfId="6285" xr:uid="{00000000-0005-0000-0000-0000FA0A0000}"/>
    <cellStyle name="Currency 3 2 2 7 3 2" xfId="23220" xr:uid="{5156378F-0910-48AE-B98B-291AF39D7219}"/>
    <cellStyle name="Currency 3 2 2 7 3 3" xfId="14779" xr:uid="{8CCFFD14-442C-40AC-A01C-22EF90E13B24}"/>
    <cellStyle name="Currency 3 2 2 7 4" xfId="19002" xr:uid="{654A29BB-1CFC-4485-BCEE-5AA6604DCC0E}"/>
    <cellStyle name="Currency 3 2 2 7 5" xfId="10528" xr:uid="{CBF1AA7D-E46B-4C1B-985D-A86816A51909}"/>
    <cellStyle name="Currency 3 2 2 8" xfId="2414" xr:uid="{00000000-0005-0000-0000-0000FB0A0000}"/>
    <cellStyle name="Currency 3 2 2 8 2" xfId="6698" xr:uid="{00000000-0005-0000-0000-0000FC0A0000}"/>
    <cellStyle name="Currency 3 2 2 8 2 2" xfId="23633" xr:uid="{EF462403-22ED-4DCE-AFE4-7815F23EEB1B}"/>
    <cellStyle name="Currency 3 2 2 8 2 3" xfId="15192" xr:uid="{3C0B3B7E-4AFA-48A4-968C-2BE0EE12DB1C}"/>
    <cellStyle name="Currency 3 2 2 8 3" xfId="19415" xr:uid="{03EC33F4-0AA7-46DD-B63E-C36A9F133930}"/>
    <cellStyle name="Currency 3 2 2 8 4" xfId="10963" xr:uid="{4B6933EE-87E3-45CD-AC4D-ED5E1BF56110}"/>
    <cellStyle name="Currency 3 2 2 9" xfId="2711" xr:uid="{00000000-0005-0000-0000-0000FD0A0000}"/>
    <cellStyle name="Currency 3 2 3" xfId="182" xr:uid="{00000000-0005-0000-0000-0000FE0A0000}"/>
    <cellStyle name="Currency 3 2 3 10" xfId="4636" xr:uid="{00000000-0005-0000-0000-0000FF0A0000}"/>
    <cellStyle name="Currency 3 2 3 10 2" xfId="21571" xr:uid="{3FC13ECC-851B-495E-BC4D-5A5859379CE6}"/>
    <cellStyle name="Currency 3 2 3 10 3" xfId="13130" xr:uid="{BDC36B36-6B68-4854-A29B-3A8B41435811}"/>
    <cellStyle name="Currency 3 2 3 11" xfId="17353" xr:uid="{E9C9A700-949C-42DF-B809-7F0E9E4C408F}"/>
    <cellStyle name="Currency 3 2 3 12" xfId="8878" xr:uid="{BB178523-6047-4783-9ABE-A5E02137849E}"/>
    <cellStyle name="Currency 3 2 3 2" xfId="183" xr:uid="{00000000-0005-0000-0000-0000000B0000}"/>
    <cellStyle name="Currency 3 2 3 2 10" xfId="17354" xr:uid="{C5F11326-3590-47FD-BA4A-44DD69B78F72}"/>
    <cellStyle name="Currency 3 2 3 2 11" xfId="8879" xr:uid="{65C84F7D-3A32-4FA1-8B1F-4EFB057FE2F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131" xr:uid="{B75B43B4-65BE-4B7A-8203-BB437D59C523}"/>
    <cellStyle name="Currency 3 2 3 2 2 2 2 3" xfId="15690" xr:uid="{742DA435-87A3-4C0C-B3AE-8D3DBB13DE9C}"/>
    <cellStyle name="Currency 3 2 3 2 2 2 3" xfId="19913" xr:uid="{BF4CB9E0-DD89-43FA-B378-1F61298E0CB3}"/>
    <cellStyle name="Currency 3 2 3 2 2 2 4" xfId="11471" xr:uid="{2814BE1F-1444-47E6-8C7F-688A7606B592}"/>
    <cellStyle name="Currency 3 2 3 2 2 3" xfId="5051" xr:uid="{00000000-0005-0000-0000-0000040B0000}"/>
    <cellStyle name="Currency 3 2 3 2 2 3 2" xfId="21986" xr:uid="{B14E3597-706D-4E55-9D7E-60ECD982036C}"/>
    <cellStyle name="Currency 3 2 3 2 2 3 3" xfId="13545" xr:uid="{06B8B26E-C68F-48D5-9386-A9F69D4AB1E7}"/>
    <cellStyle name="Currency 3 2 3 2 2 4" xfId="17768" xr:uid="{79543D4F-5F61-46F6-83DA-2B0DC781BE14}"/>
    <cellStyle name="Currency 3 2 3 2 2 5" xfId="9294" xr:uid="{D81CB230-A52C-479E-A760-595B2DE84CDB}"/>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4544" xr:uid="{8442F5DF-C901-4816-AB6B-49DCF2CBD415}"/>
    <cellStyle name="Currency 3 2 3 2 3 2 2 3" xfId="16103" xr:uid="{3F055D4F-23D3-41FD-AA43-78C29A2A6B32}"/>
    <cellStyle name="Currency 3 2 3 2 3 2 3" xfId="20326" xr:uid="{8A1604A7-343D-4489-8BB5-4E49A999550D}"/>
    <cellStyle name="Currency 3 2 3 2 3 2 4" xfId="11884" xr:uid="{98D64D66-1478-4542-9A44-BE18FA4884A3}"/>
    <cellStyle name="Currency 3 2 3 2 3 3" xfId="5464" xr:uid="{00000000-0005-0000-0000-0000080B0000}"/>
    <cellStyle name="Currency 3 2 3 2 3 3 2" xfId="22399" xr:uid="{4BAA86F0-871B-42B7-A8BE-0804B9BB883C}"/>
    <cellStyle name="Currency 3 2 3 2 3 3 3" xfId="13958" xr:uid="{A170D41F-622F-4ECD-9760-6F96EBE3C2F8}"/>
    <cellStyle name="Currency 3 2 3 2 3 4" xfId="18181" xr:uid="{0385B9EF-461A-412A-B8AC-AC9B432986FE}"/>
    <cellStyle name="Currency 3 2 3 2 3 5" xfId="9707" xr:uid="{FA0D8B92-E500-4342-99B0-C0AEF358B76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4957" xr:uid="{6C88B331-ED8C-4E96-9D15-337D2A609E2C}"/>
    <cellStyle name="Currency 3 2 3 2 4 2 2 3" xfId="16516" xr:uid="{31D30D84-0E8A-49A0-BC1D-579DDF777DD8}"/>
    <cellStyle name="Currency 3 2 3 2 4 2 3" xfId="20739" xr:uid="{3081F81A-8D61-46AD-92C0-2A247A33BC48}"/>
    <cellStyle name="Currency 3 2 3 2 4 2 4" xfId="12297" xr:uid="{5903673F-F088-4D91-8383-50AB71D20684}"/>
    <cellStyle name="Currency 3 2 3 2 4 3" xfId="5877" xr:uid="{00000000-0005-0000-0000-00000C0B0000}"/>
    <cellStyle name="Currency 3 2 3 2 4 3 2" xfId="22812" xr:uid="{9F422346-8F67-4C20-9930-0F67217E17DF}"/>
    <cellStyle name="Currency 3 2 3 2 4 3 3" xfId="14371" xr:uid="{CA55C3BC-9B37-42FE-A4CB-AC8A237B7143}"/>
    <cellStyle name="Currency 3 2 3 2 4 4" xfId="18594" xr:uid="{6D16C6C5-28ED-4ACB-8C29-62307A853D44}"/>
    <cellStyle name="Currency 3 2 3 2 4 5" xfId="10120" xr:uid="{B1263B0A-30AD-4556-9B35-8CE3562211D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5370" xr:uid="{EEBE99D6-C067-4084-8B4F-25721E11AD44}"/>
    <cellStyle name="Currency 3 2 3 2 5 2 2 3" xfId="16929" xr:uid="{930ECDE1-634E-4124-A7C4-887AE7D69594}"/>
    <cellStyle name="Currency 3 2 3 2 5 2 3" xfId="21152" xr:uid="{8E382A48-1E8F-47FA-8776-2CEDE241F5F5}"/>
    <cellStyle name="Currency 3 2 3 2 5 2 4" xfId="12710" xr:uid="{2ED22DDB-4B9C-4D47-B646-FA38D871E9BF}"/>
    <cellStyle name="Currency 3 2 3 2 5 3" xfId="6290" xr:uid="{00000000-0005-0000-0000-0000100B0000}"/>
    <cellStyle name="Currency 3 2 3 2 5 3 2" xfId="23225" xr:uid="{41016426-D44F-4E52-9121-8EAF96DB53A4}"/>
    <cellStyle name="Currency 3 2 3 2 5 3 3" xfId="14784" xr:uid="{608133AE-3755-440D-B700-68FE37BDECCE}"/>
    <cellStyle name="Currency 3 2 3 2 5 4" xfId="19007" xr:uid="{CAD53500-DD3F-458D-B0AC-F27227035F41}"/>
    <cellStyle name="Currency 3 2 3 2 5 5" xfId="10533" xr:uid="{8FC7DE77-F176-4CD5-8A65-0FA7FB26155E}"/>
    <cellStyle name="Currency 3 2 3 2 6" xfId="2419" xr:uid="{00000000-0005-0000-0000-0000110B0000}"/>
    <cellStyle name="Currency 3 2 3 2 6 2" xfId="6703" xr:uid="{00000000-0005-0000-0000-0000120B0000}"/>
    <cellStyle name="Currency 3 2 3 2 6 2 2" xfId="23638" xr:uid="{CB02318B-B3BA-46DE-AF2C-58C16CE8E711}"/>
    <cellStyle name="Currency 3 2 3 2 6 2 3" xfId="15197" xr:uid="{E85DFE2A-A7A7-4FB7-ACE3-74696A198AE7}"/>
    <cellStyle name="Currency 3 2 3 2 6 3" xfId="19420" xr:uid="{B888E59B-FF12-4DFE-9A6D-F18FFA3021D4}"/>
    <cellStyle name="Currency 3 2 3 2 6 4" xfId="10968" xr:uid="{35D700D7-689D-46F0-9B30-096FCC0F7963}"/>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3955" xr:uid="{78AF0DB1-9776-4FB2-95A1-F17987B59D7C}"/>
    <cellStyle name="Currency 3 2 3 2 8 2 3" xfId="15514" xr:uid="{7BAEF83B-D386-49EA-BEE7-0225443B432E}"/>
    <cellStyle name="Currency 3 2 3 2 8 3" xfId="19737" xr:uid="{FEAAC8AD-8D98-4CF6-9778-0636441D1C35}"/>
    <cellStyle name="Currency 3 2 3 2 8 4" xfId="11295" xr:uid="{8F2D2740-65CD-4E21-AF51-46A608CBE547}"/>
    <cellStyle name="Currency 3 2 3 2 9" xfId="4637" xr:uid="{00000000-0005-0000-0000-0000160B0000}"/>
    <cellStyle name="Currency 3 2 3 2 9 2" xfId="21572" xr:uid="{32793DC9-E8D1-4B3A-9B4E-ED36AE7E985C}"/>
    <cellStyle name="Currency 3 2 3 2 9 3" xfId="13131" xr:uid="{C97F242D-0491-4CCF-B392-A4B2F5556B4F}"/>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130" xr:uid="{B66507EA-6564-4C30-8D22-8D374661A89B}"/>
    <cellStyle name="Currency 3 2 3 3 2 2 3" xfId="15689" xr:uid="{D88968EE-0627-4168-A119-EF5F99740D84}"/>
    <cellStyle name="Currency 3 2 3 3 2 3" xfId="19912" xr:uid="{727025F2-6C07-40F9-B584-522640610E80}"/>
    <cellStyle name="Currency 3 2 3 3 2 4" xfId="11470" xr:uid="{0294568C-BEDE-4DB0-AE7A-B8FAA2958DBC}"/>
    <cellStyle name="Currency 3 2 3 3 3" xfId="5050" xr:uid="{00000000-0005-0000-0000-00001A0B0000}"/>
    <cellStyle name="Currency 3 2 3 3 3 2" xfId="21985" xr:uid="{539D2730-794D-4228-9A7A-071094F704F8}"/>
    <cellStyle name="Currency 3 2 3 3 3 3" xfId="13544" xr:uid="{A03F9771-F802-48F5-B1AF-91F29660D5BD}"/>
    <cellStyle name="Currency 3 2 3 3 4" xfId="17767" xr:uid="{E917F17D-06ED-4572-B5D2-DC4BD4FEB737}"/>
    <cellStyle name="Currency 3 2 3 3 5" xfId="9293" xr:uid="{2567D7F0-72A6-48D3-B657-B425D0FF1F8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4543" xr:uid="{D5088E17-2D68-4F1D-B785-F6A936C9146B}"/>
    <cellStyle name="Currency 3 2 3 4 2 2 3" xfId="16102" xr:uid="{0257E803-0118-4801-8F5E-66F093BA2CAE}"/>
    <cellStyle name="Currency 3 2 3 4 2 3" xfId="20325" xr:uid="{860B08F3-74E7-46DE-9F6E-37554F456C9B}"/>
    <cellStyle name="Currency 3 2 3 4 2 4" xfId="11883" xr:uid="{95B66050-1B45-4DE2-8870-6A92148770E0}"/>
    <cellStyle name="Currency 3 2 3 4 3" xfId="5463" xr:uid="{00000000-0005-0000-0000-00001E0B0000}"/>
    <cellStyle name="Currency 3 2 3 4 3 2" xfId="22398" xr:uid="{C4370027-02C0-4AEB-9DD8-D174F797889B}"/>
    <cellStyle name="Currency 3 2 3 4 3 3" xfId="13957" xr:uid="{944C03C2-403B-4A6D-974B-84DB22A97CAE}"/>
    <cellStyle name="Currency 3 2 3 4 4" xfId="18180" xr:uid="{616D48CE-E9F3-4AAA-805A-DEBB456DCCAA}"/>
    <cellStyle name="Currency 3 2 3 4 5" xfId="9706" xr:uid="{9AAAC1C6-1933-45C6-AE84-AF6A727D0F47}"/>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4956" xr:uid="{72D7249C-F8C1-4361-9D02-EB17DA6E1331}"/>
    <cellStyle name="Currency 3 2 3 5 2 2 3" xfId="16515" xr:uid="{CFA66841-BCA5-45C5-9B62-DCA41E8A9FB7}"/>
    <cellStyle name="Currency 3 2 3 5 2 3" xfId="20738" xr:uid="{1BB89C12-9FA9-4A46-84C8-54ABE9DC841F}"/>
    <cellStyle name="Currency 3 2 3 5 2 4" xfId="12296" xr:uid="{A73D6F87-C80D-4E70-A4A0-A2A5C38B60E8}"/>
    <cellStyle name="Currency 3 2 3 5 3" xfId="5876" xr:uid="{00000000-0005-0000-0000-0000220B0000}"/>
    <cellStyle name="Currency 3 2 3 5 3 2" xfId="22811" xr:uid="{0B14A15C-5EC4-43C7-BD2A-A24813D49D18}"/>
    <cellStyle name="Currency 3 2 3 5 3 3" xfId="14370" xr:uid="{EABDDE31-A51F-450A-89BC-9372204FC69C}"/>
    <cellStyle name="Currency 3 2 3 5 4" xfId="18593" xr:uid="{ED61E04D-019B-421D-99C5-BBF3D8E6DE7D}"/>
    <cellStyle name="Currency 3 2 3 5 5" xfId="10119" xr:uid="{650DA61C-A8EE-4078-A10D-2B746ACC8EEC}"/>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5369" xr:uid="{E411547C-4BFF-4E21-B1C2-93DF05D5A0EF}"/>
    <cellStyle name="Currency 3 2 3 6 2 2 3" xfId="16928" xr:uid="{59BE09C1-53E8-4828-88E8-11CB19DFCA69}"/>
    <cellStyle name="Currency 3 2 3 6 2 3" xfId="21151" xr:uid="{403FBD1D-15F0-4EFA-9022-F54FBA2C121D}"/>
    <cellStyle name="Currency 3 2 3 6 2 4" xfId="12709" xr:uid="{C8354EE6-3C67-49D5-8A52-78FD29E21857}"/>
    <cellStyle name="Currency 3 2 3 6 3" xfId="6289" xr:uid="{00000000-0005-0000-0000-0000260B0000}"/>
    <cellStyle name="Currency 3 2 3 6 3 2" xfId="23224" xr:uid="{151EF2FC-044F-482F-95DA-635A515C8400}"/>
    <cellStyle name="Currency 3 2 3 6 3 3" xfId="14783" xr:uid="{5E23A45F-CBA8-44C2-997A-0F53E668E2D2}"/>
    <cellStyle name="Currency 3 2 3 6 4" xfId="19006" xr:uid="{D417011E-72BE-48AF-A6A3-4CA20D462EB6}"/>
    <cellStyle name="Currency 3 2 3 6 5" xfId="10532" xr:uid="{ECA2D767-FC39-4E65-A4F3-BB38E796AE1C}"/>
    <cellStyle name="Currency 3 2 3 7" xfId="2418" xr:uid="{00000000-0005-0000-0000-0000270B0000}"/>
    <cellStyle name="Currency 3 2 3 7 2" xfId="6702" xr:uid="{00000000-0005-0000-0000-0000280B0000}"/>
    <cellStyle name="Currency 3 2 3 7 2 2" xfId="23637" xr:uid="{3D502295-C737-44B9-BF5D-D876D2350D86}"/>
    <cellStyle name="Currency 3 2 3 7 2 3" xfId="15196" xr:uid="{37863BC4-D1CF-4AA2-A120-ADF3F2F3916B}"/>
    <cellStyle name="Currency 3 2 3 7 3" xfId="19419" xr:uid="{7FFBCD6E-DD99-4141-A8A1-9642EE6D4CFA}"/>
    <cellStyle name="Currency 3 2 3 7 4" xfId="10967" xr:uid="{F35381E2-D834-4660-83E4-75E44EA1C4D2}"/>
    <cellStyle name="Currency 3 2 3 8" xfId="2715" xr:uid="{00000000-0005-0000-0000-0000290B0000}"/>
    <cellStyle name="Currency 3 2 3 9" xfId="2796" xr:uid="{00000000-0005-0000-0000-00002A0B0000}"/>
    <cellStyle name="Currency 3 2 3 9 2" xfId="7019" xr:uid="{00000000-0005-0000-0000-00002B0B0000}"/>
    <cellStyle name="Currency 3 2 3 9 2 2" xfId="23954" xr:uid="{AF575546-4D47-4A30-A585-F73AF738AFC0}"/>
    <cellStyle name="Currency 3 2 3 9 2 3" xfId="15513" xr:uid="{7041BF1E-B359-4A73-8998-F991EC9C9772}"/>
    <cellStyle name="Currency 3 2 3 9 3" xfId="19736" xr:uid="{C9545057-99E5-4934-8B27-8FD5EA2F2557}"/>
    <cellStyle name="Currency 3 2 3 9 4" xfId="11294" xr:uid="{B3C295AE-20BC-47C7-9D2B-D5C9C42BF80C}"/>
    <cellStyle name="Currency 3 2 4" xfId="184" xr:uid="{00000000-0005-0000-0000-00002C0B0000}"/>
    <cellStyle name="Currency 3 2 4 10" xfId="17355" xr:uid="{746F115B-2283-43F3-A89C-7073AB001357}"/>
    <cellStyle name="Currency 3 2 4 11" xfId="8880" xr:uid="{7CC5A129-A080-4817-8A99-91AD9401AB8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132" xr:uid="{7B6C6758-55E1-4435-94C6-438D1D51AD16}"/>
    <cellStyle name="Currency 3 2 4 2 2 2 3" xfId="15691" xr:uid="{D9E19C23-96F5-4152-A909-4993F760540A}"/>
    <cellStyle name="Currency 3 2 4 2 2 3" xfId="19914" xr:uid="{28A4C853-1B88-4410-8E47-179EE37B9E46}"/>
    <cellStyle name="Currency 3 2 4 2 2 4" xfId="11472" xr:uid="{BB63B2CF-672B-490B-AD98-51CF8A10322E}"/>
    <cellStyle name="Currency 3 2 4 2 3" xfId="5052" xr:uid="{00000000-0005-0000-0000-0000300B0000}"/>
    <cellStyle name="Currency 3 2 4 2 3 2" xfId="21987" xr:uid="{8758C24A-6796-42F8-958F-F20A455FD9C5}"/>
    <cellStyle name="Currency 3 2 4 2 3 3" xfId="13546" xr:uid="{BE78D23D-FBB8-45FB-97B8-7962135045EA}"/>
    <cellStyle name="Currency 3 2 4 2 4" xfId="17769" xr:uid="{DA5AEF16-A6C3-4EFD-9494-CAEEBFD2D7AB}"/>
    <cellStyle name="Currency 3 2 4 2 5" xfId="9295" xr:uid="{633D6120-9629-4480-BD7F-10297FE73E2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4545" xr:uid="{9BE18330-F284-4C3B-9AA7-A401A1ABFFD2}"/>
    <cellStyle name="Currency 3 2 4 3 2 2 3" xfId="16104" xr:uid="{94F640B2-3374-4540-A5AC-A3E476AE97D9}"/>
    <cellStyle name="Currency 3 2 4 3 2 3" xfId="20327" xr:uid="{ED9A7FA8-FCDF-4235-ACDD-A9BEF071DF9E}"/>
    <cellStyle name="Currency 3 2 4 3 2 4" xfId="11885" xr:uid="{45134E79-9E32-4FD0-91B2-4B49D1E70FC5}"/>
    <cellStyle name="Currency 3 2 4 3 3" xfId="5465" xr:uid="{00000000-0005-0000-0000-0000340B0000}"/>
    <cellStyle name="Currency 3 2 4 3 3 2" xfId="22400" xr:uid="{0E14E67A-F170-4A9C-A1FA-FFC0B4676C06}"/>
    <cellStyle name="Currency 3 2 4 3 3 3" xfId="13959" xr:uid="{6B709258-21DF-43BD-BBBE-4314965226D7}"/>
    <cellStyle name="Currency 3 2 4 3 4" xfId="18182" xr:uid="{CBD47267-8C55-4434-932F-CA459E5A12D2}"/>
    <cellStyle name="Currency 3 2 4 3 5" xfId="9708" xr:uid="{0585FBD9-C211-4D75-9EDD-390797756D7A}"/>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4958" xr:uid="{977E5601-87AC-4AA6-B6F6-E319D7331BB0}"/>
    <cellStyle name="Currency 3 2 4 4 2 2 3" xfId="16517" xr:uid="{0386467F-273C-42DF-BEFD-3F439A1711FF}"/>
    <cellStyle name="Currency 3 2 4 4 2 3" xfId="20740" xr:uid="{8314985F-B381-49A9-AEE9-1EB918BD9C54}"/>
    <cellStyle name="Currency 3 2 4 4 2 4" xfId="12298" xr:uid="{62F715DF-8C4A-467B-A87A-9501139EE6FE}"/>
    <cellStyle name="Currency 3 2 4 4 3" xfId="5878" xr:uid="{00000000-0005-0000-0000-0000380B0000}"/>
    <cellStyle name="Currency 3 2 4 4 3 2" xfId="22813" xr:uid="{55839614-6490-44B4-872A-0B74C59ABCF1}"/>
    <cellStyle name="Currency 3 2 4 4 3 3" xfId="14372" xr:uid="{358EC99A-73F1-490A-8A75-7775DB6D0C09}"/>
    <cellStyle name="Currency 3 2 4 4 4" xfId="18595" xr:uid="{9CCDEEB6-BAAB-47ED-A172-D8D4A6855A92}"/>
    <cellStyle name="Currency 3 2 4 4 5" xfId="10121" xr:uid="{E8492B44-781D-4067-BAD4-D8FAFBD327CC}"/>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5371" xr:uid="{0379A186-01C3-439F-AC65-EABFFF233DCB}"/>
    <cellStyle name="Currency 3 2 4 5 2 2 3" xfId="16930" xr:uid="{BB13BA8C-CC47-40BF-9494-8F793F9F925C}"/>
    <cellStyle name="Currency 3 2 4 5 2 3" xfId="21153" xr:uid="{AA364F94-E1C6-43C4-9A25-3548E09E9E6C}"/>
    <cellStyle name="Currency 3 2 4 5 2 4" xfId="12711" xr:uid="{CBE2DB86-6A20-4C5F-B56B-A9656A8F3A7C}"/>
    <cellStyle name="Currency 3 2 4 5 3" xfId="6291" xr:uid="{00000000-0005-0000-0000-00003C0B0000}"/>
    <cellStyle name="Currency 3 2 4 5 3 2" xfId="23226" xr:uid="{BC771B09-8A4D-4095-BC58-6C679B38242C}"/>
    <cellStyle name="Currency 3 2 4 5 3 3" xfId="14785" xr:uid="{078A91FA-3C13-41E7-B5DC-B67DC97456DB}"/>
    <cellStyle name="Currency 3 2 4 5 4" xfId="19008" xr:uid="{7B104EFF-E6AD-4C9A-8253-25BEED237FC1}"/>
    <cellStyle name="Currency 3 2 4 5 5" xfId="10534" xr:uid="{72B93832-1B41-4FF6-97A3-389B93E1A122}"/>
    <cellStyle name="Currency 3 2 4 6" xfId="2420" xr:uid="{00000000-0005-0000-0000-00003D0B0000}"/>
    <cellStyle name="Currency 3 2 4 6 2" xfId="6704" xr:uid="{00000000-0005-0000-0000-00003E0B0000}"/>
    <cellStyle name="Currency 3 2 4 6 2 2" xfId="23639" xr:uid="{972701A0-AE8E-4D08-8AC6-1CC06C4C2E09}"/>
    <cellStyle name="Currency 3 2 4 6 2 3" xfId="15198" xr:uid="{F4EA0F63-7051-4C98-A37C-1F33B94DC728}"/>
    <cellStyle name="Currency 3 2 4 6 3" xfId="19421" xr:uid="{D99FD4AA-1881-4D9F-B3CB-72F480AAD528}"/>
    <cellStyle name="Currency 3 2 4 6 4" xfId="10969" xr:uid="{5646D4FC-ED93-4DCB-897B-B1C4B2437947}"/>
    <cellStyle name="Currency 3 2 4 7" xfId="2717" xr:uid="{00000000-0005-0000-0000-00003F0B0000}"/>
    <cellStyle name="Currency 3 2 4 8" xfId="2798" xr:uid="{00000000-0005-0000-0000-0000400B0000}"/>
    <cellStyle name="Currency 3 2 4 8 2" xfId="7021" xr:uid="{00000000-0005-0000-0000-0000410B0000}"/>
    <cellStyle name="Currency 3 2 4 8 2 2" xfId="23956" xr:uid="{D920B8A0-637C-4E9A-B6DE-D258F98374A2}"/>
    <cellStyle name="Currency 3 2 4 8 2 3" xfId="15515" xr:uid="{52F4763C-DBC6-46C4-95E5-F40E767B470F}"/>
    <cellStyle name="Currency 3 2 4 8 3" xfId="19738" xr:uid="{0DC9865A-8D7B-4900-B554-68472301E545}"/>
    <cellStyle name="Currency 3 2 4 8 4" xfId="11296" xr:uid="{FA3BAE08-9939-486E-829B-62CDCB0C84B6}"/>
    <cellStyle name="Currency 3 2 4 9" xfId="4638" xr:uid="{00000000-0005-0000-0000-0000420B0000}"/>
    <cellStyle name="Currency 3 2 4 9 2" xfId="21573" xr:uid="{042B4F3B-5D17-495D-BD8A-8636358A2053}"/>
    <cellStyle name="Currency 3 2 4 9 3" xfId="13132" xr:uid="{C284B0B8-5695-4940-995B-51439C752303}"/>
    <cellStyle name="Currency 3 2 5" xfId="185" xr:uid="{00000000-0005-0000-0000-0000430B0000}"/>
    <cellStyle name="Currency 3 2 5 10" xfId="17356" xr:uid="{D6FA1946-10D7-4744-9956-3DC39876B1D9}"/>
    <cellStyle name="Currency 3 2 5 11" xfId="8881" xr:uid="{69904212-F9CA-49F2-B7A6-42A2FCF5557D}"/>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133" xr:uid="{FFCF5D61-5382-4225-A4E6-4F8195EF29B4}"/>
    <cellStyle name="Currency 3 2 5 2 2 2 3" xfId="15692" xr:uid="{7750F6D9-27ED-4DFD-9980-3BF195DEBD55}"/>
    <cellStyle name="Currency 3 2 5 2 2 3" xfId="19915" xr:uid="{18D46735-C55B-4AB5-8BA6-FE753C8566EE}"/>
    <cellStyle name="Currency 3 2 5 2 2 4" xfId="11473" xr:uid="{A96D1146-811B-4679-8378-ACD696333C98}"/>
    <cellStyle name="Currency 3 2 5 2 3" xfId="5053" xr:uid="{00000000-0005-0000-0000-0000470B0000}"/>
    <cellStyle name="Currency 3 2 5 2 3 2" xfId="21988" xr:uid="{31F20BC5-7B93-4856-883F-807908B2E654}"/>
    <cellStyle name="Currency 3 2 5 2 3 3" xfId="13547" xr:uid="{5386C58A-96D9-42F7-A908-B9089D6FA9A0}"/>
    <cellStyle name="Currency 3 2 5 2 4" xfId="17770" xr:uid="{0D36D5E3-227F-4497-A810-9FBE5EFD7F1C}"/>
    <cellStyle name="Currency 3 2 5 2 5" xfId="9296" xr:uid="{F070A6A6-2AFC-4190-B354-26B53FBC26AC}"/>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4546" xr:uid="{2070B81A-F19E-41F7-AB0F-BAFBACFF2D04}"/>
    <cellStyle name="Currency 3 2 5 3 2 2 3" xfId="16105" xr:uid="{97427FC7-6EC3-4A5E-9081-E33072256796}"/>
    <cellStyle name="Currency 3 2 5 3 2 3" xfId="20328" xr:uid="{71E30849-49E6-4E2C-BE86-05ECD9F09944}"/>
    <cellStyle name="Currency 3 2 5 3 2 4" xfId="11886" xr:uid="{F8AF57C3-ECD3-4842-AD58-2FFACEA858FE}"/>
    <cellStyle name="Currency 3 2 5 3 3" xfId="5466" xr:uid="{00000000-0005-0000-0000-00004B0B0000}"/>
    <cellStyle name="Currency 3 2 5 3 3 2" xfId="22401" xr:uid="{23A4BE57-054C-4E00-93D1-41E47E85362F}"/>
    <cellStyle name="Currency 3 2 5 3 3 3" xfId="13960" xr:uid="{A2969FBE-3C4A-4D62-B83E-804B4D5F0C48}"/>
    <cellStyle name="Currency 3 2 5 3 4" xfId="18183" xr:uid="{940A8B75-C912-4A47-93DE-993844AED54D}"/>
    <cellStyle name="Currency 3 2 5 3 5" xfId="9709" xr:uid="{AED1372D-F428-4D73-BE85-19E4D206E03A}"/>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4959" xr:uid="{3E9E1C22-6728-42F6-94CF-4229F04C1133}"/>
    <cellStyle name="Currency 3 2 5 4 2 2 3" xfId="16518" xr:uid="{DF4811CB-C8DB-494C-A05B-A12CA9FD33BC}"/>
    <cellStyle name="Currency 3 2 5 4 2 3" xfId="20741" xr:uid="{DA5FB384-46BC-46BB-8AED-8B994016182A}"/>
    <cellStyle name="Currency 3 2 5 4 2 4" xfId="12299" xr:uid="{29C439F1-722D-45AE-A9F4-2D5BEE4922DE}"/>
    <cellStyle name="Currency 3 2 5 4 3" xfId="5879" xr:uid="{00000000-0005-0000-0000-00004F0B0000}"/>
    <cellStyle name="Currency 3 2 5 4 3 2" xfId="22814" xr:uid="{44A86944-886F-4983-8A3B-A9FB22B4517D}"/>
    <cellStyle name="Currency 3 2 5 4 3 3" xfId="14373" xr:uid="{1D0ABB4E-D35B-424B-A682-4008A6F951C1}"/>
    <cellStyle name="Currency 3 2 5 4 4" xfId="18596" xr:uid="{DC1604EC-E406-4BF4-882D-E452FF2FDE06}"/>
    <cellStyle name="Currency 3 2 5 4 5" xfId="10122" xr:uid="{CE29E875-7326-46A4-ADDA-FAAFE7A6C90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5372" xr:uid="{C8B2D991-767E-4772-953A-E1BA0D08A5AD}"/>
    <cellStyle name="Currency 3 2 5 5 2 2 3" xfId="16931" xr:uid="{B8B62748-AF81-4C19-A7B6-44920867714D}"/>
    <cellStyle name="Currency 3 2 5 5 2 3" xfId="21154" xr:uid="{C2B53259-3EFD-40CF-9BCD-05C7F38B2209}"/>
    <cellStyle name="Currency 3 2 5 5 2 4" xfId="12712" xr:uid="{0F675AEA-0FAE-4530-AABD-622CBC59E9AF}"/>
    <cellStyle name="Currency 3 2 5 5 3" xfId="6292" xr:uid="{00000000-0005-0000-0000-0000530B0000}"/>
    <cellStyle name="Currency 3 2 5 5 3 2" xfId="23227" xr:uid="{BA3F2A0F-3EA6-44B8-AE44-2490F79E2661}"/>
    <cellStyle name="Currency 3 2 5 5 3 3" xfId="14786" xr:uid="{569C7287-730F-4FDB-BFDD-BD429A649E56}"/>
    <cellStyle name="Currency 3 2 5 5 4" xfId="19009" xr:uid="{C9B255BB-789D-4CB1-8A64-CA9A9C0DEB82}"/>
    <cellStyle name="Currency 3 2 5 5 5" xfId="10535" xr:uid="{B1BAD681-7BDB-451E-A12D-DD41D9F08100}"/>
    <cellStyle name="Currency 3 2 5 6" xfId="2421" xr:uid="{00000000-0005-0000-0000-0000540B0000}"/>
    <cellStyle name="Currency 3 2 5 6 2" xfId="6705" xr:uid="{00000000-0005-0000-0000-0000550B0000}"/>
    <cellStyle name="Currency 3 2 5 6 2 2" xfId="23640" xr:uid="{7370FBC0-C1F9-47F9-A82C-554D6DFC84F3}"/>
    <cellStyle name="Currency 3 2 5 6 2 3" xfId="15199" xr:uid="{8C422387-7E76-468F-B78E-77572AF4C141}"/>
    <cellStyle name="Currency 3 2 5 6 3" xfId="19422" xr:uid="{9F339C9C-9152-4D0C-A15C-97DBA40DE6D3}"/>
    <cellStyle name="Currency 3 2 5 6 4" xfId="10970" xr:uid="{76EAE343-331A-402A-876B-E4B3643AEEED}"/>
    <cellStyle name="Currency 3 2 5 7" xfId="2718" xr:uid="{00000000-0005-0000-0000-0000560B0000}"/>
    <cellStyle name="Currency 3 2 5 8" xfId="2799" xr:uid="{00000000-0005-0000-0000-0000570B0000}"/>
    <cellStyle name="Currency 3 2 5 8 2" xfId="7022" xr:uid="{00000000-0005-0000-0000-0000580B0000}"/>
    <cellStyle name="Currency 3 2 5 8 2 2" xfId="23957" xr:uid="{EFB8F211-F552-4A93-8EBB-5A8A4B5A9D7A}"/>
    <cellStyle name="Currency 3 2 5 8 2 3" xfId="15516" xr:uid="{80D9200D-219E-4E30-81A6-6B71D7548538}"/>
    <cellStyle name="Currency 3 2 5 8 3" xfId="19739" xr:uid="{9FC22EAE-1794-4B0E-AB2C-1CFD11A4D6BD}"/>
    <cellStyle name="Currency 3 2 5 8 4" xfId="11297" xr:uid="{C358B65A-39B6-41BA-8DB3-7A8E5634D7AA}"/>
    <cellStyle name="Currency 3 2 5 9" xfId="4639" xr:uid="{00000000-0005-0000-0000-0000590B0000}"/>
    <cellStyle name="Currency 3 2 5 9 2" xfId="21574" xr:uid="{0103DF41-523E-4AFA-9B00-6E31F8045190}"/>
    <cellStyle name="Currency 3 2 5 9 3" xfId="13133" xr:uid="{3C5C269E-7486-42C4-B1B5-DC0C56F28B3A}"/>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3958" xr:uid="{A5028730-6CC9-4D2E-B93A-EE57E180654A}"/>
    <cellStyle name="Currency 5 2 2 2 10 2 3" xfId="15517" xr:uid="{0D66AE5C-6776-413E-A49D-569CC7365DA8}"/>
    <cellStyle name="Currency 5 2 2 2 10 3" xfId="19740" xr:uid="{AB87E656-1641-4C49-97BA-99D31AA8F2C2}"/>
    <cellStyle name="Currency 5 2 2 2 10 4" xfId="11298" xr:uid="{9DEDAC2C-8EDE-4C76-8DCD-94AC092F5CF2}"/>
    <cellStyle name="Currency 5 2 2 2 11" xfId="4640" xr:uid="{00000000-0005-0000-0000-00006C0B0000}"/>
    <cellStyle name="Currency 5 2 2 2 11 2" xfId="21575" xr:uid="{BD0680CF-8A47-42E9-856E-0D78E173A827}"/>
    <cellStyle name="Currency 5 2 2 2 11 3" xfId="13134" xr:uid="{8DE36970-278A-47EB-8973-FC8AE7593FA0}"/>
    <cellStyle name="Currency 5 2 2 2 12" xfId="17357" xr:uid="{E033FD76-4CBD-45BA-AE29-C775D8DAE716}"/>
    <cellStyle name="Currency 5 2 2 2 13" xfId="8882" xr:uid="{C549230F-1FDA-46FB-AAD5-9F3F4C79BC35}"/>
    <cellStyle name="Currency 5 2 2 2 2" xfId="197" xr:uid="{00000000-0005-0000-0000-00006D0B0000}"/>
    <cellStyle name="Currency 5 2 2 2 2 10" xfId="4641" xr:uid="{00000000-0005-0000-0000-00006E0B0000}"/>
    <cellStyle name="Currency 5 2 2 2 2 10 2" xfId="21576" xr:uid="{5E7CF85B-A135-4F42-BC94-EDAC39F53BFB}"/>
    <cellStyle name="Currency 5 2 2 2 2 10 3" xfId="13135" xr:uid="{F9C11232-7F1E-45E2-80A6-D6668308B456}"/>
    <cellStyle name="Currency 5 2 2 2 2 11" xfId="17358" xr:uid="{884FA21D-667A-494B-91AE-62D8330E35C7}"/>
    <cellStyle name="Currency 5 2 2 2 2 12" xfId="8883" xr:uid="{C9D6A3E7-9E92-419B-9A98-4C7E60358A33}"/>
    <cellStyle name="Currency 5 2 2 2 2 2" xfId="198" xr:uid="{00000000-0005-0000-0000-00006F0B0000}"/>
    <cellStyle name="Currency 5 2 2 2 2 2 10" xfId="17359" xr:uid="{0FEFF458-FA79-4386-87E1-62EAF75C0225}"/>
    <cellStyle name="Currency 5 2 2 2 2 2 11" xfId="8884" xr:uid="{F8AF4422-CB09-444C-9852-E1AF435830AA}"/>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136" xr:uid="{E758DFBF-00FC-435C-90DC-80B51D1A6ACE}"/>
    <cellStyle name="Currency 5 2 2 2 2 2 2 2 2 3" xfId="15695" xr:uid="{620885E2-BC87-4347-90BF-51A9C40339F7}"/>
    <cellStyle name="Currency 5 2 2 2 2 2 2 2 3" xfId="19918" xr:uid="{52D84A9C-B784-4904-9198-97B1B1A8D23E}"/>
    <cellStyle name="Currency 5 2 2 2 2 2 2 2 4" xfId="11476" xr:uid="{8D087570-46E1-4FE3-9FB6-C23EAF8F8886}"/>
    <cellStyle name="Currency 5 2 2 2 2 2 2 3" xfId="5056" xr:uid="{00000000-0005-0000-0000-0000730B0000}"/>
    <cellStyle name="Currency 5 2 2 2 2 2 2 3 2" xfId="21991" xr:uid="{0B24F5B5-4061-4EC3-A13D-1A80B36607DD}"/>
    <cellStyle name="Currency 5 2 2 2 2 2 2 3 3" xfId="13550" xr:uid="{E9BE5C72-1DAF-4BF5-BF0E-8E2DE4A19322}"/>
    <cellStyle name="Currency 5 2 2 2 2 2 2 4" xfId="17773" xr:uid="{EFFE9D5B-08A9-415A-89C5-6988B77214CE}"/>
    <cellStyle name="Currency 5 2 2 2 2 2 2 5" xfId="9299" xr:uid="{D2B4D89C-310E-47C7-92E1-25673EA95A26}"/>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4549" xr:uid="{9003642D-A97A-4433-B485-D4BD205F6E8C}"/>
    <cellStyle name="Currency 5 2 2 2 2 2 3 2 2 3" xfId="16108" xr:uid="{DAC48A85-C9C4-4F6D-AF79-EB9406323C74}"/>
    <cellStyle name="Currency 5 2 2 2 2 2 3 2 3" xfId="20331" xr:uid="{CEBD157C-E16D-4CE1-AA5B-83115FAA9759}"/>
    <cellStyle name="Currency 5 2 2 2 2 2 3 2 4" xfId="11889" xr:uid="{8C630C41-5B3C-49C6-A5F9-BA8A84CDB1DB}"/>
    <cellStyle name="Currency 5 2 2 2 2 2 3 3" xfId="5469" xr:uid="{00000000-0005-0000-0000-0000770B0000}"/>
    <cellStyle name="Currency 5 2 2 2 2 2 3 3 2" xfId="22404" xr:uid="{03D9DDBF-A21E-4C8B-ABB8-D4ECCDE8863D}"/>
    <cellStyle name="Currency 5 2 2 2 2 2 3 3 3" xfId="13963" xr:uid="{30CB6D7D-B98A-444A-9C61-B0BB4BCCFB46}"/>
    <cellStyle name="Currency 5 2 2 2 2 2 3 4" xfId="18186" xr:uid="{3D3ADEC2-EE45-44A5-B058-24EDA7E084D3}"/>
    <cellStyle name="Currency 5 2 2 2 2 2 3 5" xfId="9712" xr:uid="{8C5C40AA-DDF4-4D30-8DCE-1D4F1DA977C4}"/>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4962" xr:uid="{38FB212F-6C94-404E-81A9-E8CCC98020AB}"/>
    <cellStyle name="Currency 5 2 2 2 2 2 4 2 2 3" xfId="16521" xr:uid="{0A20BB19-F159-4BB6-BFC4-54BBEB1D1414}"/>
    <cellStyle name="Currency 5 2 2 2 2 2 4 2 3" xfId="20744" xr:uid="{BBB89117-D283-4345-BE3E-A2110E8983B3}"/>
    <cellStyle name="Currency 5 2 2 2 2 2 4 2 4" xfId="12302" xr:uid="{F3DF7AD4-6B60-479C-8B53-D5B025E5AF64}"/>
    <cellStyle name="Currency 5 2 2 2 2 2 4 3" xfId="5882" xr:uid="{00000000-0005-0000-0000-00007B0B0000}"/>
    <cellStyle name="Currency 5 2 2 2 2 2 4 3 2" xfId="22817" xr:uid="{EB1589F5-6258-4AF4-A706-21CB77E0DD8B}"/>
    <cellStyle name="Currency 5 2 2 2 2 2 4 3 3" xfId="14376" xr:uid="{24962C6B-8753-48A5-AFB3-6BD435254C64}"/>
    <cellStyle name="Currency 5 2 2 2 2 2 4 4" xfId="18599" xr:uid="{9DE1CFBB-33AA-4085-988E-DAF484B6FE5A}"/>
    <cellStyle name="Currency 5 2 2 2 2 2 4 5" xfId="10125" xr:uid="{6A55AD48-C3FC-4FD0-81FE-C9BDD074FD8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5375" xr:uid="{D2362D59-D6D9-48DB-9AFF-84CB2A391A4C}"/>
    <cellStyle name="Currency 5 2 2 2 2 2 5 2 2 3" xfId="16934" xr:uid="{D6ADC943-C8FA-4BFE-9A5C-5195FEEAD78A}"/>
    <cellStyle name="Currency 5 2 2 2 2 2 5 2 3" xfId="21157" xr:uid="{FDE53BEA-DEF1-41FF-8A12-EDE100F6EF81}"/>
    <cellStyle name="Currency 5 2 2 2 2 2 5 2 4" xfId="12715" xr:uid="{A89848EF-F525-4093-8681-767493E7886E}"/>
    <cellStyle name="Currency 5 2 2 2 2 2 5 3" xfId="6295" xr:uid="{00000000-0005-0000-0000-00007F0B0000}"/>
    <cellStyle name="Currency 5 2 2 2 2 2 5 3 2" xfId="23230" xr:uid="{145B6C86-5EEB-4F93-AEF6-9162743968D9}"/>
    <cellStyle name="Currency 5 2 2 2 2 2 5 3 3" xfId="14789" xr:uid="{8D870E69-5F53-4A0E-8A95-62AEDB1ACAC6}"/>
    <cellStyle name="Currency 5 2 2 2 2 2 5 4" xfId="19012" xr:uid="{9A3F1805-F837-4B02-9551-7E56EFD339B7}"/>
    <cellStyle name="Currency 5 2 2 2 2 2 5 5" xfId="10538" xr:uid="{EBA60F21-632C-423F-A889-B36CDED27A3E}"/>
    <cellStyle name="Currency 5 2 2 2 2 2 6" xfId="2424" xr:uid="{00000000-0005-0000-0000-0000800B0000}"/>
    <cellStyle name="Currency 5 2 2 2 2 2 6 2" xfId="6708" xr:uid="{00000000-0005-0000-0000-0000810B0000}"/>
    <cellStyle name="Currency 5 2 2 2 2 2 6 2 2" xfId="23643" xr:uid="{59B82F94-1F87-4685-88A1-A28FBB3AE696}"/>
    <cellStyle name="Currency 5 2 2 2 2 2 6 2 3" xfId="15202" xr:uid="{B070C4B6-2690-4775-AD0A-2FCB8F5F499F}"/>
    <cellStyle name="Currency 5 2 2 2 2 2 6 3" xfId="19425" xr:uid="{EB9356C2-E131-4AE6-B4C8-37143AE0EDA9}"/>
    <cellStyle name="Currency 5 2 2 2 2 2 6 4" xfId="10973" xr:uid="{35FE204C-84EB-4518-9B43-47BB33CD558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3960" xr:uid="{107B78C4-8874-4D69-8328-554207127D26}"/>
    <cellStyle name="Currency 5 2 2 2 2 2 8 2 3" xfId="15519" xr:uid="{956FF70D-58D6-44B0-9A8C-CF17BA3B7117}"/>
    <cellStyle name="Currency 5 2 2 2 2 2 8 3" xfId="19742" xr:uid="{59915662-1A8B-4057-913D-208A5A3A7597}"/>
    <cellStyle name="Currency 5 2 2 2 2 2 8 4" xfId="11300" xr:uid="{A2DB9D06-D84D-45DC-8E32-07EF484F133C}"/>
    <cellStyle name="Currency 5 2 2 2 2 2 9" xfId="4642" xr:uid="{00000000-0005-0000-0000-0000850B0000}"/>
    <cellStyle name="Currency 5 2 2 2 2 2 9 2" xfId="21577" xr:uid="{8C244F69-AD53-4AF7-86FA-1932D2D0E67B}"/>
    <cellStyle name="Currency 5 2 2 2 2 2 9 3" xfId="13136" xr:uid="{A793D7D1-A172-4DAD-932C-6BDD0F95F86A}"/>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135" xr:uid="{244863B3-F659-4929-AD9C-D8A916D58218}"/>
    <cellStyle name="Currency 5 2 2 2 2 3 2 2 3" xfId="15694" xr:uid="{F29E2CEF-173C-4902-BEB2-0F4525BD92E2}"/>
    <cellStyle name="Currency 5 2 2 2 2 3 2 3" xfId="19917" xr:uid="{E568C350-0378-460B-B316-A5B1503C31ED}"/>
    <cellStyle name="Currency 5 2 2 2 2 3 2 4" xfId="11475" xr:uid="{C27DEBF1-EB82-4FAE-B115-480674FB403C}"/>
    <cellStyle name="Currency 5 2 2 2 2 3 3" xfId="5055" xr:uid="{00000000-0005-0000-0000-0000890B0000}"/>
    <cellStyle name="Currency 5 2 2 2 2 3 3 2" xfId="21990" xr:uid="{8B6FFABF-37DA-413B-8CD7-63D541B4D1A1}"/>
    <cellStyle name="Currency 5 2 2 2 2 3 3 3" xfId="13549" xr:uid="{067B8A95-FEF7-431B-936E-4A1C59D5EE72}"/>
    <cellStyle name="Currency 5 2 2 2 2 3 4" xfId="17772" xr:uid="{DCE87096-6249-4F24-8651-E8222C118007}"/>
    <cellStyle name="Currency 5 2 2 2 2 3 5" xfId="9298" xr:uid="{0098A109-0CB4-40AC-9DAD-10710C3D8FC7}"/>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4548" xr:uid="{02FB4543-2143-4D16-9AD8-BD3262F04E8B}"/>
    <cellStyle name="Currency 5 2 2 2 2 4 2 2 3" xfId="16107" xr:uid="{CC9E23B0-9C11-40BB-AD28-E864453C15C8}"/>
    <cellStyle name="Currency 5 2 2 2 2 4 2 3" xfId="20330" xr:uid="{310C3A7E-3C84-4C8C-BFF4-63929F2F2973}"/>
    <cellStyle name="Currency 5 2 2 2 2 4 2 4" xfId="11888" xr:uid="{984E50EA-D0A3-4350-8DF8-2F3E4D9B906C}"/>
    <cellStyle name="Currency 5 2 2 2 2 4 3" xfId="5468" xr:uid="{00000000-0005-0000-0000-00008D0B0000}"/>
    <cellStyle name="Currency 5 2 2 2 2 4 3 2" xfId="22403" xr:uid="{B8682733-54B8-491B-BD69-3BB5F76A7B42}"/>
    <cellStyle name="Currency 5 2 2 2 2 4 3 3" xfId="13962" xr:uid="{55818313-2653-4F28-B686-B247E124D807}"/>
    <cellStyle name="Currency 5 2 2 2 2 4 4" xfId="18185" xr:uid="{031B800B-3BBD-4BE1-B23B-5B5AB8433C2E}"/>
    <cellStyle name="Currency 5 2 2 2 2 4 5" xfId="9711" xr:uid="{D3FEE467-EC5D-472C-AC92-363021534A3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4961" xr:uid="{E31A7561-F24C-4C11-93E5-79FD73186608}"/>
    <cellStyle name="Currency 5 2 2 2 2 5 2 2 3" xfId="16520" xr:uid="{9D2AB3B7-E5DD-4CCE-B985-8484FC145DF3}"/>
    <cellStyle name="Currency 5 2 2 2 2 5 2 3" xfId="20743" xr:uid="{41824197-BC2B-4FE1-B49E-EED7340E3DE3}"/>
    <cellStyle name="Currency 5 2 2 2 2 5 2 4" xfId="12301" xr:uid="{BB790318-6CB6-48CC-AB2C-F5B1AB84ECEA}"/>
    <cellStyle name="Currency 5 2 2 2 2 5 3" xfId="5881" xr:uid="{00000000-0005-0000-0000-0000910B0000}"/>
    <cellStyle name="Currency 5 2 2 2 2 5 3 2" xfId="22816" xr:uid="{A7D879F1-1B0E-4488-842E-8400F37FFA6C}"/>
    <cellStyle name="Currency 5 2 2 2 2 5 3 3" xfId="14375" xr:uid="{493AA7BE-5390-4F7F-807D-8B1D931D81C9}"/>
    <cellStyle name="Currency 5 2 2 2 2 5 4" xfId="18598" xr:uid="{7C2728D1-2D5C-41FC-956E-30F1BAB52695}"/>
    <cellStyle name="Currency 5 2 2 2 2 5 5" xfId="10124" xr:uid="{DE8ED305-6348-4241-BE43-00CA61B3BDAF}"/>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5374" xr:uid="{660ED0D9-7DE4-4569-9074-DF8B99C10DBA}"/>
    <cellStyle name="Currency 5 2 2 2 2 6 2 2 3" xfId="16933" xr:uid="{340ACC26-998B-44A6-9CF3-43833AC6DB39}"/>
    <cellStyle name="Currency 5 2 2 2 2 6 2 3" xfId="21156" xr:uid="{1BA361FA-8A1D-49A9-B8A3-72156868E35C}"/>
    <cellStyle name="Currency 5 2 2 2 2 6 2 4" xfId="12714" xr:uid="{46BF9F65-61CF-4ADB-954D-CB8EC2561A22}"/>
    <cellStyle name="Currency 5 2 2 2 2 6 3" xfId="6294" xr:uid="{00000000-0005-0000-0000-0000950B0000}"/>
    <cellStyle name="Currency 5 2 2 2 2 6 3 2" xfId="23229" xr:uid="{DA49FEF9-0738-4BA1-B21F-8F36BA648602}"/>
    <cellStyle name="Currency 5 2 2 2 2 6 3 3" xfId="14788" xr:uid="{623A9677-E0C8-4BBE-8279-0FE9A01300C7}"/>
    <cellStyle name="Currency 5 2 2 2 2 6 4" xfId="19011" xr:uid="{AA9DB993-98CB-439D-A0A6-E5E60C9B5C18}"/>
    <cellStyle name="Currency 5 2 2 2 2 6 5" xfId="10537" xr:uid="{B6620D2E-CDD1-4603-9177-D0FB4E576378}"/>
    <cellStyle name="Currency 5 2 2 2 2 7" xfId="2423" xr:uid="{00000000-0005-0000-0000-0000960B0000}"/>
    <cellStyle name="Currency 5 2 2 2 2 7 2" xfId="6707" xr:uid="{00000000-0005-0000-0000-0000970B0000}"/>
    <cellStyle name="Currency 5 2 2 2 2 7 2 2" xfId="23642" xr:uid="{68D5BC3C-7977-4069-9E48-E42916F66AAC}"/>
    <cellStyle name="Currency 5 2 2 2 2 7 2 3" xfId="15201" xr:uid="{DC69D3E5-6F40-44DA-AD76-8FD5D724F59B}"/>
    <cellStyle name="Currency 5 2 2 2 2 7 3" xfId="19424" xr:uid="{B8A180D6-00E2-4039-B5B6-B5372C75B289}"/>
    <cellStyle name="Currency 5 2 2 2 2 7 4" xfId="10972" xr:uid="{34B496C8-1FDA-4C6B-BEFC-53B692A18EBE}"/>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3959" xr:uid="{BD39760E-66C2-45DA-91BE-CC98D4F6214B}"/>
    <cellStyle name="Currency 5 2 2 2 2 9 2 3" xfId="15518" xr:uid="{CFCE10B5-ABF9-485E-92C8-1F15A396A922}"/>
    <cellStyle name="Currency 5 2 2 2 2 9 3" xfId="19741" xr:uid="{6444E182-7943-437B-9B78-731D8C68BE61}"/>
    <cellStyle name="Currency 5 2 2 2 2 9 4" xfId="11299" xr:uid="{EAA55E10-A3F3-42F5-8304-1F2771000E17}"/>
    <cellStyle name="Currency 5 2 2 2 3" xfId="199" xr:uid="{00000000-0005-0000-0000-00009B0B0000}"/>
    <cellStyle name="Currency 5 2 2 2 3 10" xfId="17360" xr:uid="{B851DF47-05F5-4230-8D3E-5D2060A5D656}"/>
    <cellStyle name="Currency 5 2 2 2 3 11" xfId="8885" xr:uid="{33C2CC5E-9F62-4A4B-99F0-4A918F948FA1}"/>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137" xr:uid="{F42F4224-988A-4B99-9C4A-F3E83EEAFDFD}"/>
    <cellStyle name="Currency 5 2 2 2 3 2 2 2 3" xfId="15696" xr:uid="{6185B484-0A8F-44F2-8768-77951AE08269}"/>
    <cellStyle name="Currency 5 2 2 2 3 2 2 3" xfId="19919" xr:uid="{F68380E6-75C4-498C-B19D-21255F2EA942}"/>
    <cellStyle name="Currency 5 2 2 2 3 2 2 4" xfId="11477" xr:uid="{2A786F29-F7F8-4A35-875F-3AB80445A7F1}"/>
    <cellStyle name="Currency 5 2 2 2 3 2 3" xfId="5057" xr:uid="{00000000-0005-0000-0000-00009F0B0000}"/>
    <cellStyle name="Currency 5 2 2 2 3 2 3 2" xfId="21992" xr:uid="{8BBB0F16-BEE8-4E96-97D0-70ECBBD6094C}"/>
    <cellStyle name="Currency 5 2 2 2 3 2 3 3" xfId="13551" xr:uid="{299D4AFB-CF29-4C37-AB4F-CD6EE16E32F9}"/>
    <cellStyle name="Currency 5 2 2 2 3 2 4" xfId="17774" xr:uid="{3D13C9D4-976B-4DD2-BA6F-47DDAD852307}"/>
    <cellStyle name="Currency 5 2 2 2 3 2 5" xfId="9300" xr:uid="{D65B43E8-4898-42A1-8C2E-8D30282AE1E4}"/>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4550" xr:uid="{D18C965D-1191-4B9C-9C2F-5C083CE91F8B}"/>
    <cellStyle name="Currency 5 2 2 2 3 3 2 2 3" xfId="16109" xr:uid="{FCC8F507-A80B-4658-A510-A332A54C0567}"/>
    <cellStyle name="Currency 5 2 2 2 3 3 2 3" xfId="20332" xr:uid="{A2383396-BBD4-4425-AA20-25E26B1F643A}"/>
    <cellStyle name="Currency 5 2 2 2 3 3 2 4" xfId="11890" xr:uid="{183EBF11-3148-4E8B-A819-E07B78943234}"/>
    <cellStyle name="Currency 5 2 2 2 3 3 3" xfId="5470" xr:uid="{00000000-0005-0000-0000-0000A30B0000}"/>
    <cellStyle name="Currency 5 2 2 2 3 3 3 2" xfId="22405" xr:uid="{27FD48C7-0105-424E-BD88-6C9ED15B32CB}"/>
    <cellStyle name="Currency 5 2 2 2 3 3 3 3" xfId="13964" xr:uid="{0C1D7802-771F-4EC1-88A9-D4F7D43EABB7}"/>
    <cellStyle name="Currency 5 2 2 2 3 3 4" xfId="18187" xr:uid="{D55699D4-DB8A-4CBD-934A-483D69ABD1EE}"/>
    <cellStyle name="Currency 5 2 2 2 3 3 5" xfId="9713" xr:uid="{EA1A90F5-DFE8-4B78-BDCA-2D1BE39C8FA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4963" xr:uid="{E73B104F-9832-48EA-B884-C06B4487C211}"/>
    <cellStyle name="Currency 5 2 2 2 3 4 2 2 3" xfId="16522" xr:uid="{B92176A5-768C-4D21-B253-2474BD84F32A}"/>
    <cellStyle name="Currency 5 2 2 2 3 4 2 3" xfId="20745" xr:uid="{9A50F774-96C6-47C0-A752-03350CE0C8D3}"/>
    <cellStyle name="Currency 5 2 2 2 3 4 2 4" xfId="12303" xr:uid="{C58D61AC-67AE-4889-971D-46F0877D1096}"/>
    <cellStyle name="Currency 5 2 2 2 3 4 3" xfId="5883" xr:uid="{00000000-0005-0000-0000-0000A70B0000}"/>
    <cellStyle name="Currency 5 2 2 2 3 4 3 2" xfId="22818" xr:uid="{959C79C4-ACB7-4324-A8EE-BFA8D715B08D}"/>
    <cellStyle name="Currency 5 2 2 2 3 4 3 3" xfId="14377" xr:uid="{18D915C5-84A9-4915-B6C1-27AABA80415A}"/>
    <cellStyle name="Currency 5 2 2 2 3 4 4" xfId="18600" xr:uid="{54CA8775-958E-45AA-9B44-9402BF67B6FB}"/>
    <cellStyle name="Currency 5 2 2 2 3 4 5" xfId="10126" xr:uid="{210FCE0B-DE86-4D00-8336-40B6A7B63667}"/>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5376" xr:uid="{9A00159D-8C3C-4340-B7C1-24D84EA982E3}"/>
    <cellStyle name="Currency 5 2 2 2 3 5 2 2 3" xfId="16935" xr:uid="{51457A22-F381-4F24-9200-C9F67FDAAADF}"/>
    <cellStyle name="Currency 5 2 2 2 3 5 2 3" xfId="21158" xr:uid="{1EB39ACC-A1F4-4793-AF04-5B214F0BB91C}"/>
    <cellStyle name="Currency 5 2 2 2 3 5 2 4" xfId="12716" xr:uid="{1C701453-C019-410B-9AE9-2C6137F0E733}"/>
    <cellStyle name="Currency 5 2 2 2 3 5 3" xfId="6296" xr:uid="{00000000-0005-0000-0000-0000AB0B0000}"/>
    <cellStyle name="Currency 5 2 2 2 3 5 3 2" xfId="23231" xr:uid="{34D2CBA7-6363-4A0E-B062-81808B72B7AF}"/>
    <cellStyle name="Currency 5 2 2 2 3 5 3 3" xfId="14790" xr:uid="{42A4DB51-2C6B-4E97-B8E3-BE549E0215F6}"/>
    <cellStyle name="Currency 5 2 2 2 3 5 4" xfId="19013" xr:uid="{9CF80EB5-EB73-44A0-BA39-789A023A29A8}"/>
    <cellStyle name="Currency 5 2 2 2 3 5 5" xfId="10539" xr:uid="{0BE1A5CB-E0F6-4AAE-8BCC-48C4844EE0B1}"/>
    <cellStyle name="Currency 5 2 2 2 3 6" xfId="2425" xr:uid="{00000000-0005-0000-0000-0000AC0B0000}"/>
    <cellStyle name="Currency 5 2 2 2 3 6 2" xfId="6709" xr:uid="{00000000-0005-0000-0000-0000AD0B0000}"/>
    <cellStyle name="Currency 5 2 2 2 3 6 2 2" xfId="23644" xr:uid="{3847F458-0516-47B0-AFB5-69D154E1940F}"/>
    <cellStyle name="Currency 5 2 2 2 3 6 2 3" xfId="15203" xr:uid="{83F6A17D-6ED0-4660-8DE6-4FEF8B6C3DBD}"/>
    <cellStyle name="Currency 5 2 2 2 3 6 3" xfId="19426" xr:uid="{09733029-5E1D-4908-B42D-0DE2BD06AA09}"/>
    <cellStyle name="Currency 5 2 2 2 3 6 4" xfId="10974" xr:uid="{D43424E8-702D-4020-9967-1AEF063121DC}"/>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3961" xr:uid="{71582806-D675-40BE-8D09-89E84D084485}"/>
    <cellStyle name="Currency 5 2 2 2 3 8 2 3" xfId="15520" xr:uid="{B2CDCD8D-F003-483F-B8AE-B04D4976DBA1}"/>
    <cellStyle name="Currency 5 2 2 2 3 8 3" xfId="19743" xr:uid="{22EA44C1-54EA-4BC8-8C2D-657385D3C788}"/>
    <cellStyle name="Currency 5 2 2 2 3 8 4" xfId="11301" xr:uid="{BC7DD10D-744C-4F5C-8481-95C30D8B3BB1}"/>
    <cellStyle name="Currency 5 2 2 2 3 9" xfId="4643" xr:uid="{00000000-0005-0000-0000-0000B10B0000}"/>
    <cellStyle name="Currency 5 2 2 2 3 9 2" xfId="21578" xr:uid="{AD04DE71-E882-4A47-B408-8C903C66AEE8}"/>
    <cellStyle name="Currency 5 2 2 2 3 9 3" xfId="13137" xr:uid="{3C310C47-CB6F-4005-9F2D-4D58A1856B8E}"/>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134" xr:uid="{D020DF77-9349-4075-B3EA-72A01A7F4CB6}"/>
    <cellStyle name="Currency 5 2 2 2 4 2 2 3" xfId="15693" xr:uid="{4B3A5642-8A46-47F7-8B65-7FC70C3905E2}"/>
    <cellStyle name="Currency 5 2 2 2 4 2 3" xfId="19916" xr:uid="{C5FD4B45-CAAF-45AC-A06C-E164BD026DE5}"/>
    <cellStyle name="Currency 5 2 2 2 4 2 4" xfId="11474" xr:uid="{3F9D9F0B-460D-4D1C-B395-CBD5C4CF9FB5}"/>
    <cellStyle name="Currency 5 2 2 2 4 3" xfId="5054" xr:uid="{00000000-0005-0000-0000-0000B50B0000}"/>
    <cellStyle name="Currency 5 2 2 2 4 3 2" xfId="21989" xr:uid="{3ED9A160-100C-4509-A552-3384C5157E6F}"/>
    <cellStyle name="Currency 5 2 2 2 4 3 3" xfId="13548" xr:uid="{040C5F8E-A546-4CEB-9593-F2DB66AEDEDE}"/>
    <cellStyle name="Currency 5 2 2 2 4 4" xfId="17771" xr:uid="{C7393481-773C-4036-A6D7-5397C1D956DA}"/>
    <cellStyle name="Currency 5 2 2 2 4 5" xfId="9297" xr:uid="{7AAC3025-7030-4755-9DFF-E27AC1F4F773}"/>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4547" xr:uid="{4095C723-9A83-4B52-940A-DD38ACDDBAB9}"/>
    <cellStyle name="Currency 5 2 2 2 5 2 2 3" xfId="16106" xr:uid="{743C53F3-BD1B-4172-82BB-169C47357642}"/>
    <cellStyle name="Currency 5 2 2 2 5 2 3" xfId="20329" xr:uid="{280D10D1-DABD-4DBA-A428-022DE2C4789B}"/>
    <cellStyle name="Currency 5 2 2 2 5 2 4" xfId="11887" xr:uid="{BF9BC291-0D08-4A13-9A9C-387E4F578DAE}"/>
    <cellStyle name="Currency 5 2 2 2 5 3" xfId="5467" xr:uid="{00000000-0005-0000-0000-0000B90B0000}"/>
    <cellStyle name="Currency 5 2 2 2 5 3 2" xfId="22402" xr:uid="{B24D49F2-69BE-41CD-B79C-EE65D9122284}"/>
    <cellStyle name="Currency 5 2 2 2 5 3 3" xfId="13961" xr:uid="{22D9B2D3-BEF0-4EE9-B6FB-5DCB5DDECE28}"/>
    <cellStyle name="Currency 5 2 2 2 5 4" xfId="18184" xr:uid="{4C9FF49F-1414-424A-B1DA-EA7D226DC6B2}"/>
    <cellStyle name="Currency 5 2 2 2 5 5" xfId="9710" xr:uid="{06DEBDF8-7F2D-4867-9B6D-FEB9E6E0D3F8}"/>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4960" xr:uid="{36CE8A63-968E-4579-A507-A0AAAB8CF0F4}"/>
    <cellStyle name="Currency 5 2 2 2 6 2 2 3" xfId="16519" xr:uid="{186BB79A-3137-4B98-B855-D5D7A594FEC9}"/>
    <cellStyle name="Currency 5 2 2 2 6 2 3" xfId="20742" xr:uid="{73673439-8941-4A4A-9F8F-3B60D432C980}"/>
    <cellStyle name="Currency 5 2 2 2 6 2 4" xfId="12300" xr:uid="{67802932-C5F3-401F-83DD-4A9BF0F2C988}"/>
    <cellStyle name="Currency 5 2 2 2 6 3" xfId="5880" xr:uid="{00000000-0005-0000-0000-0000BD0B0000}"/>
    <cellStyle name="Currency 5 2 2 2 6 3 2" xfId="22815" xr:uid="{80757D3D-27FF-4E96-9E1E-FB781446266F}"/>
    <cellStyle name="Currency 5 2 2 2 6 3 3" xfId="14374" xr:uid="{0E0ED7E2-1EF4-4294-96A4-5836B7FAD7A7}"/>
    <cellStyle name="Currency 5 2 2 2 6 4" xfId="18597" xr:uid="{3C4D8EE7-5287-4A2A-9A76-5EBC7D42A5E5}"/>
    <cellStyle name="Currency 5 2 2 2 6 5" xfId="10123" xr:uid="{6F2A6B91-F155-47E3-BF83-872308194ADA}"/>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5373" xr:uid="{8E38881B-D2A3-4512-ACB0-932F9449C044}"/>
    <cellStyle name="Currency 5 2 2 2 7 2 2 3" xfId="16932" xr:uid="{F16CE9BE-06A5-478E-8E10-2292F9AE7658}"/>
    <cellStyle name="Currency 5 2 2 2 7 2 3" xfId="21155" xr:uid="{EA741396-BD31-4D17-BE74-55D3BD5DAD85}"/>
    <cellStyle name="Currency 5 2 2 2 7 2 4" xfId="12713" xr:uid="{294D9AA5-5A04-4DA9-B7F3-7E4C42A24C4D}"/>
    <cellStyle name="Currency 5 2 2 2 7 3" xfId="6293" xr:uid="{00000000-0005-0000-0000-0000C10B0000}"/>
    <cellStyle name="Currency 5 2 2 2 7 3 2" xfId="23228" xr:uid="{9C365EBF-37A7-4E18-B453-1A02DA1F3FC1}"/>
    <cellStyle name="Currency 5 2 2 2 7 3 3" xfId="14787" xr:uid="{79C4B58E-1819-452B-BA97-F4143FA52DBC}"/>
    <cellStyle name="Currency 5 2 2 2 7 4" xfId="19010" xr:uid="{4F6D475B-260E-4975-9937-883BD4A6DA69}"/>
    <cellStyle name="Currency 5 2 2 2 7 5" xfId="10536" xr:uid="{F368ED0B-B7D3-4D28-9729-7B0E1A956536}"/>
    <cellStyle name="Currency 5 2 2 2 8" xfId="2422" xr:uid="{00000000-0005-0000-0000-0000C20B0000}"/>
    <cellStyle name="Currency 5 2 2 2 8 2" xfId="6706" xr:uid="{00000000-0005-0000-0000-0000C30B0000}"/>
    <cellStyle name="Currency 5 2 2 2 8 2 2" xfId="23641" xr:uid="{3A72D6BF-B18F-4900-9203-8CCE2B30FAD0}"/>
    <cellStyle name="Currency 5 2 2 2 8 2 3" xfId="15200" xr:uid="{FD5F842B-9AC1-49F7-A2D0-BCBF05F42832}"/>
    <cellStyle name="Currency 5 2 2 2 8 3" xfId="19423" xr:uid="{6520C91F-6AD2-4A34-96A4-C843491DCA1E}"/>
    <cellStyle name="Currency 5 2 2 2 8 4" xfId="10971" xr:uid="{0A8C7210-7DEB-490C-BC57-805DA45EC76F}"/>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1579" xr:uid="{2CEFF1E4-C023-4DFD-8AE1-003B9761CB80}"/>
    <cellStyle name="Currency 5 2 2 3 10 3" xfId="13138" xr:uid="{BE0580A3-1011-42CA-BCA2-83B937A897C9}"/>
    <cellStyle name="Currency 5 2 2 3 11" xfId="17361" xr:uid="{B015064F-1E18-4769-81FB-8E131CF1AE74}"/>
    <cellStyle name="Currency 5 2 2 3 12" xfId="8886" xr:uid="{B42587D6-1D7C-433B-A72D-219E26CD6672}"/>
    <cellStyle name="Currency 5 2 2 3 2" xfId="201" xr:uid="{00000000-0005-0000-0000-0000C70B0000}"/>
    <cellStyle name="Currency 5 2 2 3 2 10" xfId="17362" xr:uid="{4B7C7394-EA10-47C8-8E95-006210802062}"/>
    <cellStyle name="Currency 5 2 2 3 2 11" xfId="8887" xr:uid="{1E4FD651-D494-4F8A-B611-A20CCF3EEFE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139" xr:uid="{0A8FF771-7D63-467A-8602-6ECD1F1560BF}"/>
    <cellStyle name="Currency 5 2 2 3 2 2 2 2 3" xfId="15698" xr:uid="{F701C9EC-0485-4A04-853D-617596EA20AB}"/>
    <cellStyle name="Currency 5 2 2 3 2 2 2 3" xfId="19921" xr:uid="{7737CD03-960C-4E99-A533-60493298D093}"/>
    <cellStyle name="Currency 5 2 2 3 2 2 2 4" xfId="11479" xr:uid="{90E877A7-AF64-499D-8F0C-1D884299691A}"/>
    <cellStyle name="Currency 5 2 2 3 2 2 3" xfId="5059" xr:uid="{00000000-0005-0000-0000-0000CB0B0000}"/>
    <cellStyle name="Currency 5 2 2 3 2 2 3 2" xfId="21994" xr:uid="{C52962D3-1564-4B73-96B7-3D0F1B836799}"/>
    <cellStyle name="Currency 5 2 2 3 2 2 3 3" xfId="13553" xr:uid="{8B00003B-14A9-43C7-BD9F-B298FB17D41F}"/>
    <cellStyle name="Currency 5 2 2 3 2 2 4" xfId="17776" xr:uid="{6CA2D8D0-AE8B-46AA-B3C1-6C0B82EFD7D6}"/>
    <cellStyle name="Currency 5 2 2 3 2 2 5" xfId="9302" xr:uid="{5AC87D93-C458-4966-AB4F-0808B4A9CE7E}"/>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4552" xr:uid="{43A3C994-F522-424A-BFA3-EC717BFD17FB}"/>
    <cellStyle name="Currency 5 2 2 3 2 3 2 2 3" xfId="16111" xr:uid="{5752C3A1-E53B-46D5-953F-BF57E7AA9230}"/>
    <cellStyle name="Currency 5 2 2 3 2 3 2 3" xfId="20334" xr:uid="{22D2DC8C-BB28-4DAE-B975-C3F22F6D803F}"/>
    <cellStyle name="Currency 5 2 2 3 2 3 2 4" xfId="11892" xr:uid="{484543D7-7B96-4994-B649-DA62872B416F}"/>
    <cellStyle name="Currency 5 2 2 3 2 3 3" xfId="5472" xr:uid="{00000000-0005-0000-0000-0000CF0B0000}"/>
    <cellStyle name="Currency 5 2 2 3 2 3 3 2" xfId="22407" xr:uid="{07D1A1DF-A96A-4ACD-9813-2DE1CED43F4D}"/>
    <cellStyle name="Currency 5 2 2 3 2 3 3 3" xfId="13966" xr:uid="{D576CF5A-7180-4168-A808-F367C4A1F3A3}"/>
    <cellStyle name="Currency 5 2 2 3 2 3 4" xfId="18189" xr:uid="{1488A179-6DFA-416A-BC15-46DF8D2E3362}"/>
    <cellStyle name="Currency 5 2 2 3 2 3 5" xfId="9715" xr:uid="{4873AEFA-17CC-41BA-B497-C5D190FA6CD7}"/>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4965" xr:uid="{DF323BEB-1E3F-46DC-88A7-F50BAD764DE5}"/>
    <cellStyle name="Currency 5 2 2 3 2 4 2 2 3" xfId="16524" xr:uid="{FC4A8082-2836-443B-B179-D6D8CF2A9102}"/>
    <cellStyle name="Currency 5 2 2 3 2 4 2 3" xfId="20747" xr:uid="{9BCEF22D-66EC-43DD-8377-AEC6844A2EDC}"/>
    <cellStyle name="Currency 5 2 2 3 2 4 2 4" xfId="12305" xr:uid="{E63DC17B-3F9D-414C-B3D4-CFD573C0D0FA}"/>
    <cellStyle name="Currency 5 2 2 3 2 4 3" xfId="5885" xr:uid="{00000000-0005-0000-0000-0000D30B0000}"/>
    <cellStyle name="Currency 5 2 2 3 2 4 3 2" xfId="22820" xr:uid="{B7E9DBF6-98D3-4C72-A93E-AD1DB53FCD56}"/>
    <cellStyle name="Currency 5 2 2 3 2 4 3 3" xfId="14379" xr:uid="{04ECB2B3-5F6C-44F4-B61A-C6A5C7BD296E}"/>
    <cellStyle name="Currency 5 2 2 3 2 4 4" xfId="18602" xr:uid="{F3B177EA-4F63-4F4E-8019-EE012A31E654}"/>
    <cellStyle name="Currency 5 2 2 3 2 4 5" xfId="10128" xr:uid="{98B8D014-7674-4B16-A074-08A94E088EF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5378" xr:uid="{417290AB-A65E-4900-88F8-2443955227DA}"/>
    <cellStyle name="Currency 5 2 2 3 2 5 2 2 3" xfId="16937" xr:uid="{BF1EF662-3064-40C2-94C5-A84DE4AAF6AE}"/>
    <cellStyle name="Currency 5 2 2 3 2 5 2 3" xfId="21160" xr:uid="{5C4D94C4-0B18-49FE-99E0-6342086C01C9}"/>
    <cellStyle name="Currency 5 2 2 3 2 5 2 4" xfId="12718" xr:uid="{E1B0B44F-DE19-4D03-A3F4-DFF76D94EDF1}"/>
    <cellStyle name="Currency 5 2 2 3 2 5 3" xfId="6298" xr:uid="{00000000-0005-0000-0000-0000D70B0000}"/>
    <cellStyle name="Currency 5 2 2 3 2 5 3 2" xfId="23233" xr:uid="{EE9908A0-AC5E-48A8-A1FD-82E0CF4A27FF}"/>
    <cellStyle name="Currency 5 2 2 3 2 5 3 3" xfId="14792" xr:uid="{B6A02B80-8EFE-40EA-B882-E1A569A990A0}"/>
    <cellStyle name="Currency 5 2 2 3 2 5 4" xfId="19015" xr:uid="{8514209F-5B83-4713-8E30-33C156427F73}"/>
    <cellStyle name="Currency 5 2 2 3 2 5 5" xfId="10541" xr:uid="{FADAE317-FAFA-44B1-93EB-0B204CC5BF68}"/>
    <cellStyle name="Currency 5 2 2 3 2 6" xfId="2427" xr:uid="{00000000-0005-0000-0000-0000D80B0000}"/>
    <cellStyle name="Currency 5 2 2 3 2 6 2" xfId="6711" xr:uid="{00000000-0005-0000-0000-0000D90B0000}"/>
    <cellStyle name="Currency 5 2 2 3 2 6 2 2" xfId="23646" xr:uid="{373E1D9E-A88F-4FDA-BB22-96F033551B73}"/>
    <cellStyle name="Currency 5 2 2 3 2 6 2 3" xfId="15205" xr:uid="{6EE03DDB-19C8-4D2B-9A98-18B9ED2C8D7C}"/>
    <cellStyle name="Currency 5 2 2 3 2 6 3" xfId="19428" xr:uid="{A979D01A-30A1-4EB9-8C69-73DDCB4F4596}"/>
    <cellStyle name="Currency 5 2 2 3 2 6 4" xfId="10976" xr:uid="{3B3474EE-2E5A-41F1-BE34-B387D55315D4}"/>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3963" xr:uid="{0B8A732D-8609-433C-961B-5208C928C50D}"/>
    <cellStyle name="Currency 5 2 2 3 2 8 2 3" xfId="15522" xr:uid="{C95B7793-E9A5-4762-A898-695DC008CBCD}"/>
    <cellStyle name="Currency 5 2 2 3 2 8 3" xfId="19745" xr:uid="{AD24AA8E-63B2-40F6-ACC3-4EA38485C628}"/>
    <cellStyle name="Currency 5 2 2 3 2 8 4" xfId="11303" xr:uid="{274BE405-D53B-42EA-BC65-044D4AE66D2D}"/>
    <cellStyle name="Currency 5 2 2 3 2 9" xfId="4645" xr:uid="{00000000-0005-0000-0000-0000DD0B0000}"/>
    <cellStyle name="Currency 5 2 2 3 2 9 2" xfId="21580" xr:uid="{C33887F2-4FE9-4D46-A6A6-1DE1757762F4}"/>
    <cellStyle name="Currency 5 2 2 3 2 9 3" xfId="13139" xr:uid="{87EB1458-BB47-4AA3-8217-8B26E5E1364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138" xr:uid="{1C1DBCFC-CEFD-458A-BC11-B78632959A59}"/>
    <cellStyle name="Currency 5 2 2 3 3 2 2 3" xfId="15697" xr:uid="{82881B71-6866-435F-AB50-F3111634CCB3}"/>
    <cellStyle name="Currency 5 2 2 3 3 2 3" xfId="19920" xr:uid="{EA3D8300-5253-4694-8A52-9EDA1BE6E3A4}"/>
    <cellStyle name="Currency 5 2 2 3 3 2 4" xfId="11478" xr:uid="{69D54823-D5EA-44F5-86C3-02C3A277E469}"/>
    <cellStyle name="Currency 5 2 2 3 3 3" xfId="5058" xr:uid="{00000000-0005-0000-0000-0000E10B0000}"/>
    <cellStyle name="Currency 5 2 2 3 3 3 2" xfId="21993" xr:uid="{05CBDA19-AFD5-45E7-8464-29A73A214CC5}"/>
    <cellStyle name="Currency 5 2 2 3 3 3 3" xfId="13552" xr:uid="{2FD61EA6-F7B2-4A5F-9A2A-C6FD2D602CDC}"/>
    <cellStyle name="Currency 5 2 2 3 3 4" xfId="17775" xr:uid="{FD19456E-7409-4CFC-A8A2-E953185FD774}"/>
    <cellStyle name="Currency 5 2 2 3 3 5" xfId="9301" xr:uid="{36FB5CD1-6E2A-457F-9B45-2E1848BAFCC2}"/>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4551" xr:uid="{E53967B2-52A4-4249-8A9E-0BB65C2510E6}"/>
    <cellStyle name="Currency 5 2 2 3 4 2 2 3" xfId="16110" xr:uid="{D4125D15-AD81-45A7-9ED2-FA2E7E677A7C}"/>
    <cellStyle name="Currency 5 2 2 3 4 2 3" xfId="20333" xr:uid="{2D0B9BC1-ECC6-4665-9DF4-D90163367AA5}"/>
    <cellStyle name="Currency 5 2 2 3 4 2 4" xfId="11891" xr:uid="{BFCC2323-CACF-476E-87E2-4D8F02DAFF1E}"/>
    <cellStyle name="Currency 5 2 2 3 4 3" xfId="5471" xr:uid="{00000000-0005-0000-0000-0000E50B0000}"/>
    <cellStyle name="Currency 5 2 2 3 4 3 2" xfId="22406" xr:uid="{002E3C45-EAAA-4227-86E4-BC25446C5A95}"/>
    <cellStyle name="Currency 5 2 2 3 4 3 3" xfId="13965" xr:uid="{05B92CAC-AE2B-4CCA-89A7-95EAA2A11138}"/>
    <cellStyle name="Currency 5 2 2 3 4 4" xfId="18188" xr:uid="{ED7A7DC6-B1EB-4467-9D2F-29F9EA2C30F4}"/>
    <cellStyle name="Currency 5 2 2 3 4 5" xfId="9714" xr:uid="{A399B80A-2F8A-4FA0-9004-62D521DBF2EB}"/>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4964" xr:uid="{BD662D41-747D-4E08-AC32-0EF05049F699}"/>
    <cellStyle name="Currency 5 2 2 3 5 2 2 3" xfId="16523" xr:uid="{BF5EC434-F894-4B84-88DB-EC9D1A26A577}"/>
    <cellStyle name="Currency 5 2 2 3 5 2 3" xfId="20746" xr:uid="{1F3B8900-49E1-4E0B-80BC-3954A8466AA2}"/>
    <cellStyle name="Currency 5 2 2 3 5 2 4" xfId="12304" xr:uid="{679AC086-9E81-432E-B62D-87112CD096E2}"/>
    <cellStyle name="Currency 5 2 2 3 5 3" xfId="5884" xr:uid="{00000000-0005-0000-0000-0000E90B0000}"/>
    <cellStyle name="Currency 5 2 2 3 5 3 2" xfId="22819" xr:uid="{FDA1C07A-C6F9-4C65-9D3C-341B7202198E}"/>
    <cellStyle name="Currency 5 2 2 3 5 3 3" xfId="14378" xr:uid="{583338D9-C91E-47B7-A6CC-4436197D4B8B}"/>
    <cellStyle name="Currency 5 2 2 3 5 4" xfId="18601" xr:uid="{0683DF22-EC3A-45EE-BFF0-0FBD545E3A95}"/>
    <cellStyle name="Currency 5 2 2 3 5 5" xfId="10127" xr:uid="{0F71F427-70B8-4598-973E-CECEBC8200DF}"/>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5377" xr:uid="{FB5A35F2-289D-4BAC-B8B5-1754B75D30F3}"/>
    <cellStyle name="Currency 5 2 2 3 6 2 2 3" xfId="16936" xr:uid="{3853A91E-E330-4F59-9C27-D5E64AA5D511}"/>
    <cellStyle name="Currency 5 2 2 3 6 2 3" xfId="21159" xr:uid="{E2EA4A11-BEAA-4B2A-AFAF-D9DC1B4E6993}"/>
    <cellStyle name="Currency 5 2 2 3 6 2 4" xfId="12717" xr:uid="{DDB69650-B4B7-4E81-B371-4B1628A5C029}"/>
    <cellStyle name="Currency 5 2 2 3 6 3" xfId="6297" xr:uid="{00000000-0005-0000-0000-0000ED0B0000}"/>
    <cellStyle name="Currency 5 2 2 3 6 3 2" xfId="23232" xr:uid="{ADD3839E-3273-41F5-BFA3-DE2B85C4A991}"/>
    <cellStyle name="Currency 5 2 2 3 6 3 3" xfId="14791" xr:uid="{BFB37AA4-62D1-4BA0-A006-11FC62F82ABC}"/>
    <cellStyle name="Currency 5 2 2 3 6 4" xfId="19014" xr:uid="{B5F56D13-ED9F-468F-B4E0-747C6D9519C7}"/>
    <cellStyle name="Currency 5 2 2 3 6 5" xfId="10540" xr:uid="{FCF461D0-4C08-46D6-8FBA-A7534972C974}"/>
    <cellStyle name="Currency 5 2 2 3 7" xfId="2426" xr:uid="{00000000-0005-0000-0000-0000EE0B0000}"/>
    <cellStyle name="Currency 5 2 2 3 7 2" xfId="6710" xr:uid="{00000000-0005-0000-0000-0000EF0B0000}"/>
    <cellStyle name="Currency 5 2 2 3 7 2 2" xfId="23645" xr:uid="{762902BF-6099-446D-8B07-CA131B076E9D}"/>
    <cellStyle name="Currency 5 2 2 3 7 2 3" xfId="15204" xr:uid="{6BA49DB4-5A13-43DC-8FCD-0F1BA27CAD6F}"/>
    <cellStyle name="Currency 5 2 2 3 7 3" xfId="19427" xr:uid="{FB6264B1-0093-445E-8C5B-A2244E3940FB}"/>
    <cellStyle name="Currency 5 2 2 3 7 4" xfId="10975" xr:uid="{7C9DE4F2-8781-475C-B9F4-7D7F98174FD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3962" xr:uid="{E4E0025A-FA94-4DF5-993B-63893E1C90C9}"/>
    <cellStyle name="Currency 5 2 2 3 9 2 3" xfId="15521" xr:uid="{7CA23DD4-D7AC-48A8-A2AA-ED10A13FED63}"/>
    <cellStyle name="Currency 5 2 2 3 9 3" xfId="19744" xr:uid="{AC7323C9-FD73-4E2A-8E9D-671DD2A0F500}"/>
    <cellStyle name="Currency 5 2 2 3 9 4" xfId="11302" xr:uid="{19489417-E4CA-4261-88F1-2D2903D97B33}"/>
    <cellStyle name="Currency 5 2 2 4" xfId="202" xr:uid="{00000000-0005-0000-0000-0000F30B0000}"/>
    <cellStyle name="Currency 5 2 2 4 10" xfId="17363" xr:uid="{0EF25ADB-2EB3-44D3-8EA4-211C86024967}"/>
    <cellStyle name="Currency 5 2 2 4 11" xfId="8888" xr:uid="{F021DB74-11F7-4CEB-A908-837B4953598E}"/>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140" xr:uid="{147D519A-9AD0-4A0A-A66B-B071639422F9}"/>
    <cellStyle name="Currency 5 2 2 4 2 2 2 3" xfId="15699" xr:uid="{CC05A28C-EDF9-4A31-BB27-2D138F5FD5D3}"/>
    <cellStyle name="Currency 5 2 2 4 2 2 3" xfId="19922" xr:uid="{10E782AF-0B0B-4E04-BA8A-3F18D5817FA0}"/>
    <cellStyle name="Currency 5 2 2 4 2 2 4" xfId="11480" xr:uid="{54BF260F-C64F-49C1-99D8-27C0A0E86C24}"/>
    <cellStyle name="Currency 5 2 2 4 2 3" xfId="5060" xr:uid="{00000000-0005-0000-0000-0000F70B0000}"/>
    <cellStyle name="Currency 5 2 2 4 2 3 2" xfId="21995" xr:uid="{E65BE7FA-6F24-4003-AD1D-4FB1F3907B1B}"/>
    <cellStyle name="Currency 5 2 2 4 2 3 3" xfId="13554" xr:uid="{D1EBAE72-3568-403F-B09F-5C71F7433652}"/>
    <cellStyle name="Currency 5 2 2 4 2 4" xfId="17777" xr:uid="{7A128136-7873-4161-84DF-8524DD265C39}"/>
    <cellStyle name="Currency 5 2 2 4 2 5" xfId="9303" xr:uid="{0A6BBD23-9D87-482C-8DC4-487625F7152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4553" xr:uid="{D9893466-781A-4613-96DB-90E7D376442E}"/>
    <cellStyle name="Currency 5 2 2 4 3 2 2 3" xfId="16112" xr:uid="{4A5B55F1-0AAE-4995-82EB-2E9888EAE2D9}"/>
    <cellStyle name="Currency 5 2 2 4 3 2 3" xfId="20335" xr:uid="{C85484B3-F475-42F2-A5A4-7CD2992377E2}"/>
    <cellStyle name="Currency 5 2 2 4 3 2 4" xfId="11893" xr:uid="{139FBED6-B352-4D81-8272-3C06CBC0EC59}"/>
    <cellStyle name="Currency 5 2 2 4 3 3" xfId="5473" xr:uid="{00000000-0005-0000-0000-0000FB0B0000}"/>
    <cellStyle name="Currency 5 2 2 4 3 3 2" xfId="22408" xr:uid="{61AED49F-E0AC-452B-9C1F-401DCA9B93A4}"/>
    <cellStyle name="Currency 5 2 2 4 3 3 3" xfId="13967" xr:uid="{751F6A20-96FC-45EF-BDE0-63C782EB56FE}"/>
    <cellStyle name="Currency 5 2 2 4 3 4" xfId="18190" xr:uid="{A679B85A-8AA5-450F-8FF2-F32CA473F236}"/>
    <cellStyle name="Currency 5 2 2 4 3 5" xfId="9716" xr:uid="{2F795684-713B-46C2-997F-E39C76AEAB1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4966" xr:uid="{BE3309F3-CFD6-4435-BDB0-15D6AD043BAD}"/>
    <cellStyle name="Currency 5 2 2 4 4 2 2 3" xfId="16525" xr:uid="{90963DB8-6E4F-4B07-A057-53676BA5F8FC}"/>
    <cellStyle name="Currency 5 2 2 4 4 2 3" xfId="20748" xr:uid="{24F34771-5539-4E1B-8457-FF8CEF9EFCAB}"/>
    <cellStyle name="Currency 5 2 2 4 4 2 4" xfId="12306" xr:uid="{3B5CD5EE-A026-48C2-B1F4-23511519C84F}"/>
    <cellStyle name="Currency 5 2 2 4 4 3" xfId="5886" xr:uid="{00000000-0005-0000-0000-0000FF0B0000}"/>
    <cellStyle name="Currency 5 2 2 4 4 3 2" xfId="22821" xr:uid="{876583AF-61FE-4572-AE62-BC8881C9EAA2}"/>
    <cellStyle name="Currency 5 2 2 4 4 3 3" xfId="14380" xr:uid="{320FCE4F-8A1F-4EF1-83EF-345E3FB894CF}"/>
    <cellStyle name="Currency 5 2 2 4 4 4" xfId="18603" xr:uid="{D09B1A17-9587-48BF-8221-94F6C176CCE7}"/>
    <cellStyle name="Currency 5 2 2 4 4 5" xfId="10129" xr:uid="{E6D9C029-D474-42EF-89B0-713DF982B06D}"/>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5379" xr:uid="{1F7D1390-3809-48A6-88FF-2A54B941FD04}"/>
    <cellStyle name="Currency 5 2 2 4 5 2 2 3" xfId="16938" xr:uid="{DCC168CD-58C2-4F7E-8087-89204DC26849}"/>
    <cellStyle name="Currency 5 2 2 4 5 2 3" xfId="21161" xr:uid="{1E37C3CB-466B-4759-B7DE-0CAFF634B609}"/>
    <cellStyle name="Currency 5 2 2 4 5 2 4" xfId="12719" xr:uid="{314459A3-85B4-446D-AF1C-F30644AA27C3}"/>
    <cellStyle name="Currency 5 2 2 4 5 3" xfId="6299" xr:uid="{00000000-0005-0000-0000-0000030C0000}"/>
    <cellStyle name="Currency 5 2 2 4 5 3 2" xfId="23234" xr:uid="{355517D9-9114-40EF-9ABA-CD94ABF8B457}"/>
    <cellStyle name="Currency 5 2 2 4 5 3 3" xfId="14793" xr:uid="{EDFCC04D-2636-46D1-BD86-CE620337557C}"/>
    <cellStyle name="Currency 5 2 2 4 5 4" xfId="19016" xr:uid="{C7ABE0CE-0969-4234-80F1-2ACC4E0D225E}"/>
    <cellStyle name="Currency 5 2 2 4 5 5" xfId="10542" xr:uid="{3B6935A6-48A2-4D7C-91EF-DF7FCFCABAE1}"/>
    <cellStyle name="Currency 5 2 2 4 6" xfId="2428" xr:uid="{00000000-0005-0000-0000-0000040C0000}"/>
    <cellStyle name="Currency 5 2 2 4 6 2" xfId="6712" xr:uid="{00000000-0005-0000-0000-0000050C0000}"/>
    <cellStyle name="Currency 5 2 2 4 6 2 2" xfId="23647" xr:uid="{8E2EE1A4-5073-4195-BB37-45F212FE3B5D}"/>
    <cellStyle name="Currency 5 2 2 4 6 2 3" xfId="15206" xr:uid="{EFD27F2A-37AC-484D-A3C0-E9B0ED80B7CE}"/>
    <cellStyle name="Currency 5 2 2 4 6 3" xfId="19429" xr:uid="{E843FD8E-AB0C-4E7B-8637-41C5A9796267}"/>
    <cellStyle name="Currency 5 2 2 4 6 4" xfId="10977" xr:uid="{426F1977-8B57-4D99-BE65-05BE69C357D1}"/>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3964" xr:uid="{6E071060-A529-4C1B-B794-5B2D2963FF18}"/>
    <cellStyle name="Currency 5 2 2 4 8 2 3" xfId="15523" xr:uid="{85576BE9-AC5E-4E98-9C34-50581EA1B3EC}"/>
    <cellStyle name="Currency 5 2 2 4 8 3" xfId="19746" xr:uid="{58C52604-8714-477C-95E6-D2A547F4BD90}"/>
    <cellStyle name="Currency 5 2 2 4 8 4" xfId="11304" xr:uid="{A801FE10-03FD-4751-9BD7-FC7393DC5A88}"/>
    <cellStyle name="Currency 5 2 2 4 9" xfId="4646" xr:uid="{00000000-0005-0000-0000-0000090C0000}"/>
    <cellStyle name="Currency 5 2 2 4 9 2" xfId="21581" xr:uid="{1E54F718-148B-4227-9762-958F38961B38}"/>
    <cellStyle name="Currency 5 2 2 4 9 3" xfId="13140" xr:uid="{F21DDBBC-E687-44C8-9A8F-F7673AC23AA0}"/>
    <cellStyle name="Currency 5 2 2 5" xfId="203" xr:uid="{00000000-0005-0000-0000-00000A0C0000}"/>
    <cellStyle name="Currency 5 2 2 5 10" xfId="17364" xr:uid="{2B102AF4-62A8-43E5-A3D0-53050D553C2F}"/>
    <cellStyle name="Currency 5 2 2 5 11" xfId="8889" xr:uid="{C6F34476-CE1B-4AD9-96DB-583AAE714B6E}"/>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141" xr:uid="{85A25FCA-1721-487D-B46E-B462B024EF4E}"/>
    <cellStyle name="Currency 5 2 2 5 2 2 2 3" xfId="15700" xr:uid="{B8D36F87-8227-4C85-9BD4-0C3ED5FCC0A7}"/>
    <cellStyle name="Currency 5 2 2 5 2 2 3" xfId="19923" xr:uid="{67100EE6-986E-49B4-91B9-F6741026FB65}"/>
    <cellStyle name="Currency 5 2 2 5 2 2 4" xfId="11481" xr:uid="{33899D82-950B-4909-8C46-D56A88F31387}"/>
    <cellStyle name="Currency 5 2 2 5 2 3" xfId="5061" xr:uid="{00000000-0005-0000-0000-00000E0C0000}"/>
    <cellStyle name="Currency 5 2 2 5 2 3 2" xfId="21996" xr:uid="{023AC40D-5DD7-4402-97C1-E509A9C1852F}"/>
    <cellStyle name="Currency 5 2 2 5 2 3 3" xfId="13555" xr:uid="{1EF95DFA-CBD2-47C5-B7D9-29574F2C0480}"/>
    <cellStyle name="Currency 5 2 2 5 2 4" xfId="17778" xr:uid="{21B35E0F-EB48-47CD-8324-7C2CFAFE6AC1}"/>
    <cellStyle name="Currency 5 2 2 5 2 5" xfId="9304" xr:uid="{674B3A82-7773-4FB5-AE26-DF90B883B497}"/>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4554" xr:uid="{13588788-4924-4C69-B91C-1B12DD002180}"/>
    <cellStyle name="Currency 5 2 2 5 3 2 2 3" xfId="16113" xr:uid="{C3EF44D4-C281-4191-85EF-0BC4F3413FA6}"/>
    <cellStyle name="Currency 5 2 2 5 3 2 3" xfId="20336" xr:uid="{531E3F3E-57E1-4880-8A3A-CF9D19E4C824}"/>
    <cellStyle name="Currency 5 2 2 5 3 2 4" xfId="11894" xr:uid="{3DFC7AAD-E0D0-421C-802C-87C39F87886E}"/>
    <cellStyle name="Currency 5 2 2 5 3 3" xfId="5474" xr:uid="{00000000-0005-0000-0000-0000120C0000}"/>
    <cellStyle name="Currency 5 2 2 5 3 3 2" xfId="22409" xr:uid="{5DCE4392-92F7-43B6-B522-29D5825A6684}"/>
    <cellStyle name="Currency 5 2 2 5 3 3 3" xfId="13968" xr:uid="{6CA82458-5BAD-402E-87E3-248221CA502C}"/>
    <cellStyle name="Currency 5 2 2 5 3 4" xfId="18191" xr:uid="{6242F968-E36A-4DAD-8592-E5DB49CEFA5D}"/>
    <cellStyle name="Currency 5 2 2 5 3 5" xfId="9717" xr:uid="{23047B83-1CDE-4662-BF35-D58F9FEE7BCB}"/>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4967" xr:uid="{CA3C6208-E257-435B-BD63-719B4A8AADDE}"/>
    <cellStyle name="Currency 5 2 2 5 4 2 2 3" xfId="16526" xr:uid="{7310A53D-B327-4612-90B8-FD5C90224D27}"/>
    <cellStyle name="Currency 5 2 2 5 4 2 3" xfId="20749" xr:uid="{2A1ACAB8-C0B3-4A5C-9DD3-90B5ADD42E0C}"/>
    <cellStyle name="Currency 5 2 2 5 4 2 4" xfId="12307" xr:uid="{20486360-B353-4A89-A9C5-81A02C28C254}"/>
    <cellStyle name="Currency 5 2 2 5 4 3" xfId="5887" xr:uid="{00000000-0005-0000-0000-0000160C0000}"/>
    <cellStyle name="Currency 5 2 2 5 4 3 2" xfId="22822" xr:uid="{89C0AC21-3171-4DC9-B0C6-6705143BFE6C}"/>
    <cellStyle name="Currency 5 2 2 5 4 3 3" xfId="14381" xr:uid="{B1EF02CF-2696-4FB1-942D-8702867A66B0}"/>
    <cellStyle name="Currency 5 2 2 5 4 4" xfId="18604" xr:uid="{EFCAA511-70C2-42F6-AACE-6F75D391E22B}"/>
    <cellStyle name="Currency 5 2 2 5 4 5" xfId="10130" xr:uid="{F85C9E4A-01D2-420E-B7A9-62E41E8CA126}"/>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5380" xr:uid="{A58D3DE4-F8B1-46CC-BE1C-BF42997CEF27}"/>
    <cellStyle name="Currency 5 2 2 5 5 2 2 3" xfId="16939" xr:uid="{9BC021C2-3EDF-4A29-ADF7-D70A1476E482}"/>
    <cellStyle name="Currency 5 2 2 5 5 2 3" xfId="21162" xr:uid="{E0F6D4DD-9F86-437E-B7CB-897B62C4AA2B}"/>
    <cellStyle name="Currency 5 2 2 5 5 2 4" xfId="12720" xr:uid="{0FF7198B-C5B0-45FB-9DDD-276BADD62752}"/>
    <cellStyle name="Currency 5 2 2 5 5 3" xfId="6300" xr:uid="{00000000-0005-0000-0000-00001A0C0000}"/>
    <cellStyle name="Currency 5 2 2 5 5 3 2" xfId="23235" xr:uid="{BA3BBDB3-1E00-42C9-A8D6-404FAB175E6C}"/>
    <cellStyle name="Currency 5 2 2 5 5 3 3" xfId="14794" xr:uid="{F28F0C4F-EE90-4E01-AEE1-614F5C600057}"/>
    <cellStyle name="Currency 5 2 2 5 5 4" xfId="19017" xr:uid="{9217D98E-7499-405C-A91E-3817355C259D}"/>
    <cellStyle name="Currency 5 2 2 5 5 5" xfId="10543" xr:uid="{D6863DE3-7D93-4662-85D9-AEB6BA0284ED}"/>
    <cellStyle name="Currency 5 2 2 5 6" xfId="2429" xr:uid="{00000000-0005-0000-0000-00001B0C0000}"/>
    <cellStyle name="Currency 5 2 2 5 6 2" xfId="6713" xr:uid="{00000000-0005-0000-0000-00001C0C0000}"/>
    <cellStyle name="Currency 5 2 2 5 6 2 2" xfId="23648" xr:uid="{F3A7DE26-B277-4765-9F23-B69F63BE24BB}"/>
    <cellStyle name="Currency 5 2 2 5 6 2 3" xfId="15207" xr:uid="{8D753652-5762-4580-B6A0-33297F7FD721}"/>
    <cellStyle name="Currency 5 2 2 5 6 3" xfId="19430" xr:uid="{8B17A6AE-2EEB-4348-916D-C3ABB10074D1}"/>
    <cellStyle name="Currency 5 2 2 5 6 4" xfId="10978" xr:uid="{B21C7CFC-41E2-48F0-AB1E-A19C6B091E25}"/>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3965" xr:uid="{AC21B8F8-B227-40C7-BCB0-DFA889411511}"/>
    <cellStyle name="Currency 5 2 2 5 8 2 3" xfId="15524" xr:uid="{F613054A-FF9B-4BED-B053-65401CF2452D}"/>
    <cellStyle name="Currency 5 2 2 5 8 3" xfId="19747" xr:uid="{E6027340-6394-4649-BF15-952282DDC614}"/>
    <cellStyle name="Currency 5 2 2 5 8 4" xfId="11305" xr:uid="{5B26DB91-DEAF-46E9-88DC-0E19F769CAB6}"/>
    <cellStyle name="Currency 5 2 2 5 9" xfId="4647" xr:uid="{00000000-0005-0000-0000-0000200C0000}"/>
    <cellStyle name="Currency 5 2 2 5 9 2" xfId="21582" xr:uid="{340E5273-404F-4588-9476-5F4D140ED1C2}"/>
    <cellStyle name="Currency 5 2 2 5 9 3" xfId="13141" xr:uid="{B525FE33-8589-4C92-AC01-7392A05ECC45}"/>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1583" xr:uid="{0CB11E48-BA3B-420B-8DB3-F9E33ACA3586}"/>
    <cellStyle name="Currency 5 2 4 10 3" xfId="13142" xr:uid="{49C8007C-ADDA-47B5-BB86-B2179173E8F1}"/>
    <cellStyle name="Currency 5 2 4 11" xfId="17365" xr:uid="{F0BD57A0-098D-4A5D-85C1-7BCAB10337F8}"/>
    <cellStyle name="Currency 5 2 4 12" xfId="8890" xr:uid="{E871B889-3259-4AFD-9FE2-724609EF6F6C}"/>
    <cellStyle name="Currency 5 2 4 2" xfId="206" xr:uid="{00000000-0005-0000-0000-0000250C0000}"/>
    <cellStyle name="Currency 5 2 4 2 10" xfId="17366" xr:uid="{16DD3B3C-B730-4111-9B6C-279689AED4C4}"/>
    <cellStyle name="Currency 5 2 4 2 11" xfId="8891" xr:uid="{32517A04-E408-462D-8D7A-503499FF2E7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143" xr:uid="{73A4C003-A412-472E-8214-5E8215B3234E}"/>
    <cellStyle name="Currency 5 2 4 2 2 2 2 3" xfId="15702" xr:uid="{0C6D5089-E74A-4A8D-B030-A9E3C121CBB4}"/>
    <cellStyle name="Currency 5 2 4 2 2 2 3" xfId="19925" xr:uid="{97D1228A-D889-4189-A9FC-52895A6F394F}"/>
    <cellStyle name="Currency 5 2 4 2 2 2 4" xfId="11483" xr:uid="{7538427E-DB9D-409C-BBB7-06848EA45E1E}"/>
    <cellStyle name="Currency 5 2 4 2 2 3" xfId="5063" xr:uid="{00000000-0005-0000-0000-0000290C0000}"/>
    <cellStyle name="Currency 5 2 4 2 2 3 2" xfId="21998" xr:uid="{2DFA96C2-A500-4BC3-A878-4579CF7A1043}"/>
    <cellStyle name="Currency 5 2 4 2 2 3 3" xfId="13557" xr:uid="{814AED34-309F-4702-A06D-61906E5A2D9E}"/>
    <cellStyle name="Currency 5 2 4 2 2 4" xfId="17780" xr:uid="{2903DDBF-E6AD-441F-B1CB-BEF84D3FB447}"/>
    <cellStyle name="Currency 5 2 4 2 2 5" xfId="9306" xr:uid="{16F844ED-9D8C-4924-9FE3-DF309E8747A1}"/>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4556" xr:uid="{88B314A3-79CA-42EE-8AAF-D24B58EEBF09}"/>
    <cellStyle name="Currency 5 2 4 2 3 2 2 3" xfId="16115" xr:uid="{1F37837D-CBFB-42E2-A4FF-C0F22188E29E}"/>
    <cellStyle name="Currency 5 2 4 2 3 2 3" xfId="20338" xr:uid="{6C1E0D55-F2E3-4E9B-9202-F24E24015419}"/>
    <cellStyle name="Currency 5 2 4 2 3 2 4" xfId="11896" xr:uid="{3BC58108-42EB-4443-9C1D-0CBA1A1307C4}"/>
    <cellStyle name="Currency 5 2 4 2 3 3" xfId="5476" xr:uid="{00000000-0005-0000-0000-00002D0C0000}"/>
    <cellStyle name="Currency 5 2 4 2 3 3 2" xfId="22411" xr:uid="{D111B9C5-835B-4105-A1A3-9B9C4B652591}"/>
    <cellStyle name="Currency 5 2 4 2 3 3 3" xfId="13970" xr:uid="{06E434DC-1A12-4B30-9205-6ABC201EE7BF}"/>
    <cellStyle name="Currency 5 2 4 2 3 4" xfId="18193" xr:uid="{7BCDE03D-6ECF-40E4-B43A-DCB9A79735E2}"/>
    <cellStyle name="Currency 5 2 4 2 3 5" xfId="9719" xr:uid="{946D81EB-68B0-476A-BAFE-BE73EB5C2A5D}"/>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4969" xr:uid="{7C58450C-1EB0-49AD-BBC8-6EE4548FB032}"/>
    <cellStyle name="Currency 5 2 4 2 4 2 2 3" xfId="16528" xr:uid="{21D797B4-C93C-4750-9728-253B4A01B817}"/>
    <cellStyle name="Currency 5 2 4 2 4 2 3" xfId="20751" xr:uid="{5E09E2BC-4A3A-4D91-80FA-DB36E4DCC468}"/>
    <cellStyle name="Currency 5 2 4 2 4 2 4" xfId="12309" xr:uid="{07018BED-E59D-424E-ACC7-090766589C15}"/>
    <cellStyle name="Currency 5 2 4 2 4 3" xfId="5889" xr:uid="{00000000-0005-0000-0000-0000310C0000}"/>
    <cellStyle name="Currency 5 2 4 2 4 3 2" xfId="22824" xr:uid="{372A1301-31B7-40CE-9FC1-51F8641CB417}"/>
    <cellStyle name="Currency 5 2 4 2 4 3 3" xfId="14383" xr:uid="{B174AA13-CF74-4446-955F-93AE6DC28B2F}"/>
    <cellStyle name="Currency 5 2 4 2 4 4" xfId="18606" xr:uid="{8F24DB88-CA9A-4F09-8C8D-20112D9432B3}"/>
    <cellStyle name="Currency 5 2 4 2 4 5" xfId="10132" xr:uid="{ABE98756-C214-45B4-9134-8F27C3D6DE1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5382" xr:uid="{6825BD7C-3A76-40AC-B141-04BD064085F4}"/>
    <cellStyle name="Currency 5 2 4 2 5 2 2 3" xfId="16941" xr:uid="{F455FA71-B755-4BEA-BCEF-9C9B623F110C}"/>
    <cellStyle name="Currency 5 2 4 2 5 2 3" xfId="21164" xr:uid="{DD6C4A42-98EC-4738-9C94-208C4BEEC687}"/>
    <cellStyle name="Currency 5 2 4 2 5 2 4" xfId="12722" xr:uid="{CA523A8D-BB50-4973-9F0B-5A87DC1AC1E5}"/>
    <cellStyle name="Currency 5 2 4 2 5 3" xfId="6302" xr:uid="{00000000-0005-0000-0000-0000350C0000}"/>
    <cellStyle name="Currency 5 2 4 2 5 3 2" xfId="23237" xr:uid="{8CF32A7F-D32D-41CA-A5E1-13F7BD9741A3}"/>
    <cellStyle name="Currency 5 2 4 2 5 3 3" xfId="14796" xr:uid="{4A2B0609-9FF3-4525-959D-6CBAB3E659AD}"/>
    <cellStyle name="Currency 5 2 4 2 5 4" xfId="19019" xr:uid="{DDD6C2B2-489E-43FC-9F65-32568CD42506}"/>
    <cellStyle name="Currency 5 2 4 2 5 5" xfId="10545" xr:uid="{D59151DC-3035-4DFF-BA92-3B868F7AD04A}"/>
    <cellStyle name="Currency 5 2 4 2 6" xfId="2431" xr:uid="{00000000-0005-0000-0000-0000360C0000}"/>
    <cellStyle name="Currency 5 2 4 2 6 2" xfId="6715" xr:uid="{00000000-0005-0000-0000-0000370C0000}"/>
    <cellStyle name="Currency 5 2 4 2 6 2 2" xfId="23650" xr:uid="{5740FC48-07E1-4E7F-A089-9078B848694C}"/>
    <cellStyle name="Currency 5 2 4 2 6 2 3" xfId="15209" xr:uid="{0B5608E7-1909-4F2C-836D-3029D3BC210E}"/>
    <cellStyle name="Currency 5 2 4 2 6 3" xfId="19432" xr:uid="{FDE83B7C-BAD7-4A67-8A3F-FD9E7EF1A774}"/>
    <cellStyle name="Currency 5 2 4 2 6 4" xfId="10980" xr:uid="{651EC316-96B9-4FB8-8655-61078BBCEAF1}"/>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3967" xr:uid="{51F0D153-2FBE-46EF-A5D3-94EFBC2988DF}"/>
    <cellStyle name="Currency 5 2 4 2 8 2 3" xfId="15526" xr:uid="{645A2F23-77EF-42F8-8D62-C4A9824B47EF}"/>
    <cellStyle name="Currency 5 2 4 2 8 3" xfId="19749" xr:uid="{3236CF40-4959-4E29-BD80-1EA4C497C0E7}"/>
    <cellStyle name="Currency 5 2 4 2 8 4" xfId="11307" xr:uid="{CC089625-4638-4206-9F89-AF1678127F0C}"/>
    <cellStyle name="Currency 5 2 4 2 9" xfId="4649" xr:uid="{00000000-0005-0000-0000-00003B0C0000}"/>
    <cellStyle name="Currency 5 2 4 2 9 2" xfId="21584" xr:uid="{0C56ED2E-D611-465F-8DD5-817575203CA6}"/>
    <cellStyle name="Currency 5 2 4 2 9 3" xfId="13143" xr:uid="{209B684C-60DF-42EC-949E-417262AAAA6B}"/>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142" xr:uid="{7D99308E-9A34-4729-A865-092551B48DC9}"/>
    <cellStyle name="Currency 5 2 4 3 2 2 3" xfId="15701" xr:uid="{815D0631-C3D0-403F-B563-D7A7E3C18ABF}"/>
    <cellStyle name="Currency 5 2 4 3 2 3" xfId="19924" xr:uid="{7E32C65C-EF42-4AEE-B8C4-C3540A2C6674}"/>
    <cellStyle name="Currency 5 2 4 3 2 4" xfId="11482" xr:uid="{9BFC00D1-72D4-478E-8B48-559F0863C480}"/>
    <cellStyle name="Currency 5 2 4 3 3" xfId="5062" xr:uid="{00000000-0005-0000-0000-00003F0C0000}"/>
    <cellStyle name="Currency 5 2 4 3 3 2" xfId="21997" xr:uid="{3F05BDBE-3C61-485B-97CF-6DA2B2D28AF1}"/>
    <cellStyle name="Currency 5 2 4 3 3 3" xfId="13556" xr:uid="{F2101802-0D52-4B9F-A45E-A52C02F656E6}"/>
    <cellStyle name="Currency 5 2 4 3 4" xfId="17779" xr:uid="{4E473F36-A521-4F81-9423-12D77C432EFB}"/>
    <cellStyle name="Currency 5 2 4 3 5" xfId="9305" xr:uid="{1F1B014F-8469-4D3D-AF47-DB64167213B9}"/>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4555" xr:uid="{BCB516C1-EB85-4F29-A145-F727A83817FC}"/>
    <cellStyle name="Currency 5 2 4 4 2 2 3" xfId="16114" xr:uid="{15BF9888-7744-42B7-8450-D91C585DFDD2}"/>
    <cellStyle name="Currency 5 2 4 4 2 3" xfId="20337" xr:uid="{A6CD9D1D-EA9D-43CD-A054-9868A71A8872}"/>
    <cellStyle name="Currency 5 2 4 4 2 4" xfId="11895" xr:uid="{4791B35F-4066-418A-AEAF-8A608637CF53}"/>
    <cellStyle name="Currency 5 2 4 4 3" xfId="5475" xr:uid="{00000000-0005-0000-0000-0000430C0000}"/>
    <cellStyle name="Currency 5 2 4 4 3 2" xfId="22410" xr:uid="{18A176FF-376D-4560-B142-8DCFEE0C951A}"/>
    <cellStyle name="Currency 5 2 4 4 3 3" xfId="13969" xr:uid="{5217BFFB-9B84-4CCD-AD21-AEC87F322488}"/>
    <cellStyle name="Currency 5 2 4 4 4" xfId="18192" xr:uid="{AFCBD988-25E0-486A-B377-7C409789D0E5}"/>
    <cellStyle name="Currency 5 2 4 4 5" xfId="9718" xr:uid="{C5CBF0F3-CA0E-403D-A267-B488CBC4D831}"/>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4968" xr:uid="{4D15950C-887C-4DDC-B55B-79B4CF2C5960}"/>
    <cellStyle name="Currency 5 2 4 5 2 2 3" xfId="16527" xr:uid="{D2E8F89E-7EA9-4263-8B7F-89FE69DEC93F}"/>
    <cellStyle name="Currency 5 2 4 5 2 3" xfId="20750" xr:uid="{9BA7DA05-6E0D-4106-9CC5-F53FC2C383C5}"/>
    <cellStyle name="Currency 5 2 4 5 2 4" xfId="12308" xr:uid="{8F1C3E66-4090-42B5-8398-1C0E64FDD154}"/>
    <cellStyle name="Currency 5 2 4 5 3" xfId="5888" xr:uid="{00000000-0005-0000-0000-0000470C0000}"/>
    <cellStyle name="Currency 5 2 4 5 3 2" xfId="22823" xr:uid="{6943AD57-1A1E-484F-BCA1-49FA61C29BF7}"/>
    <cellStyle name="Currency 5 2 4 5 3 3" xfId="14382" xr:uid="{FD3228F7-7387-4CCB-ACBF-C8A4614E009F}"/>
    <cellStyle name="Currency 5 2 4 5 4" xfId="18605" xr:uid="{ABE6681C-13C9-4490-BCD4-BA0980FBBBD4}"/>
    <cellStyle name="Currency 5 2 4 5 5" xfId="10131" xr:uid="{291979B3-D783-4C52-97BD-BC4D40AAB194}"/>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5381" xr:uid="{3385A8AA-3C70-4B9F-AA69-31B2FF648F78}"/>
    <cellStyle name="Currency 5 2 4 6 2 2 3" xfId="16940" xr:uid="{06D20940-9100-4F59-8378-A8021D7E62AB}"/>
    <cellStyle name="Currency 5 2 4 6 2 3" xfId="21163" xr:uid="{1BEC4429-F025-411D-874C-BED63EADFFFF}"/>
    <cellStyle name="Currency 5 2 4 6 2 4" xfId="12721" xr:uid="{EA25CB32-E3C9-4326-901B-A17E198D8F5B}"/>
    <cellStyle name="Currency 5 2 4 6 3" xfId="6301" xr:uid="{00000000-0005-0000-0000-00004B0C0000}"/>
    <cellStyle name="Currency 5 2 4 6 3 2" xfId="23236" xr:uid="{1B14A97F-9392-48DA-9FE0-3FFA1EE70395}"/>
    <cellStyle name="Currency 5 2 4 6 3 3" xfId="14795" xr:uid="{4ADD1E77-264C-4569-A8FF-04F4391E33F0}"/>
    <cellStyle name="Currency 5 2 4 6 4" xfId="19018" xr:uid="{C61EA03C-5208-44CE-8C82-06E9AB578272}"/>
    <cellStyle name="Currency 5 2 4 6 5" xfId="10544" xr:uid="{72A1A430-0406-40F0-B0E1-4F6A3222806F}"/>
    <cellStyle name="Currency 5 2 4 7" xfId="2430" xr:uid="{00000000-0005-0000-0000-00004C0C0000}"/>
    <cellStyle name="Currency 5 2 4 7 2" xfId="6714" xr:uid="{00000000-0005-0000-0000-00004D0C0000}"/>
    <cellStyle name="Currency 5 2 4 7 2 2" xfId="23649" xr:uid="{375EDBC9-E3E6-4E65-A3BA-5E6EDB26BBB4}"/>
    <cellStyle name="Currency 5 2 4 7 2 3" xfId="15208" xr:uid="{E873E276-9C5F-493E-BEAC-7D1871875972}"/>
    <cellStyle name="Currency 5 2 4 7 3" xfId="19431" xr:uid="{C8272316-4B0F-4D92-9F14-23997B75A57C}"/>
    <cellStyle name="Currency 5 2 4 7 4" xfId="10979" xr:uid="{A24BFB11-830E-40FF-8961-ABF4C55254B6}"/>
    <cellStyle name="Currency 5 2 4 8" xfId="2727" xr:uid="{00000000-0005-0000-0000-00004E0C0000}"/>
    <cellStyle name="Currency 5 2 4 9" xfId="2808" xr:uid="{00000000-0005-0000-0000-00004F0C0000}"/>
    <cellStyle name="Currency 5 2 4 9 2" xfId="7031" xr:uid="{00000000-0005-0000-0000-0000500C0000}"/>
    <cellStyle name="Currency 5 2 4 9 2 2" xfId="23966" xr:uid="{35375724-7DFF-4BFF-8C93-AF89022CC038}"/>
    <cellStyle name="Currency 5 2 4 9 2 3" xfId="15525" xr:uid="{BB934EFA-5D3E-4A31-838C-FAEBC273713F}"/>
    <cellStyle name="Currency 5 2 4 9 3" xfId="19748" xr:uid="{F8351359-099A-4BFF-829D-6090830D8ED0}"/>
    <cellStyle name="Currency 5 2 4 9 4" xfId="11306" xr:uid="{D858B98A-D813-4A32-8A89-2C0BD8B24DD0}"/>
    <cellStyle name="Currency 5 2 5" xfId="207" xr:uid="{00000000-0005-0000-0000-0000510C0000}"/>
    <cellStyle name="Currency 5 2 5 10" xfId="17367" xr:uid="{1AF2C9B8-9999-4F88-8B62-44E2190E157B}"/>
    <cellStyle name="Currency 5 2 5 11" xfId="8892" xr:uid="{78701AF0-CAB5-42FF-A2DA-2D683188D658}"/>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144" xr:uid="{D7474206-DF8F-4B6C-99E0-646ED978E7C8}"/>
    <cellStyle name="Currency 5 2 5 2 2 2 3" xfId="15703" xr:uid="{04376DAE-BF12-4F07-AEAA-BEA4DED6007E}"/>
    <cellStyle name="Currency 5 2 5 2 2 3" xfId="19926" xr:uid="{24A196DB-E6A1-47C6-BB4D-76879E2E03EE}"/>
    <cellStyle name="Currency 5 2 5 2 2 4" xfId="11484" xr:uid="{5541B24F-70C4-4215-A479-AC0AF7C7C0D8}"/>
    <cellStyle name="Currency 5 2 5 2 3" xfId="5064" xr:uid="{00000000-0005-0000-0000-0000550C0000}"/>
    <cellStyle name="Currency 5 2 5 2 3 2" xfId="21999" xr:uid="{3C7782CA-7AEF-42CB-B911-CE3AA3F055C7}"/>
    <cellStyle name="Currency 5 2 5 2 3 3" xfId="13558" xr:uid="{406CF0EE-B260-4540-9A31-E60A18ABBD23}"/>
    <cellStyle name="Currency 5 2 5 2 4" xfId="17781" xr:uid="{0A6F24BA-D81C-4C3D-9E01-9D1ED15FBB92}"/>
    <cellStyle name="Currency 5 2 5 2 5" xfId="9307" xr:uid="{270BBCAA-2A2D-462D-97D9-CEAB120EF1F9}"/>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4557" xr:uid="{B1022847-4B5B-4106-962A-A6A70E6C65BD}"/>
    <cellStyle name="Currency 5 2 5 3 2 2 3" xfId="16116" xr:uid="{9ADE3DC5-570E-477C-8D42-E477C6886377}"/>
    <cellStyle name="Currency 5 2 5 3 2 3" xfId="20339" xr:uid="{390EDE60-1D07-4EF4-96F8-DB43740F0CA2}"/>
    <cellStyle name="Currency 5 2 5 3 2 4" xfId="11897" xr:uid="{18C1FE64-7B1B-4BA5-8A40-9C769017F1B2}"/>
    <cellStyle name="Currency 5 2 5 3 3" xfId="5477" xr:uid="{00000000-0005-0000-0000-0000590C0000}"/>
    <cellStyle name="Currency 5 2 5 3 3 2" xfId="22412" xr:uid="{1EAC4BD1-1FCA-4696-9A53-1B2453060783}"/>
    <cellStyle name="Currency 5 2 5 3 3 3" xfId="13971" xr:uid="{6B95EFA2-F7F9-4B25-9340-F945DF109928}"/>
    <cellStyle name="Currency 5 2 5 3 4" xfId="18194" xr:uid="{1F22FB7F-88FF-480F-A8B3-34745E86A72A}"/>
    <cellStyle name="Currency 5 2 5 3 5" xfId="9720" xr:uid="{9C63275F-61D7-4C84-94A0-E278425E70B5}"/>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4970" xr:uid="{E21349DA-9FB5-48B2-87AA-2F7EDDD726A2}"/>
    <cellStyle name="Currency 5 2 5 4 2 2 3" xfId="16529" xr:uid="{59FDFD74-ABE3-4E2C-B38C-8A26E91425DB}"/>
    <cellStyle name="Currency 5 2 5 4 2 3" xfId="20752" xr:uid="{222F23C7-E753-4A1F-9E97-DFF0E1AB8ED3}"/>
    <cellStyle name="Currency 5 2 5 4 2 4" xfId="12310" xr:uid="{0CA4B36C-DF43-4BD0-BF16-9E3E48283A99}"/>
    <cellStyle name="Currency 5 2 5 4 3" xfId="5890" xr:uid="{00000000-0005-0000-0000-00005D0C0000}"/>
    <cellStyle name="Currency 5 2 5 4 3 2" xfId="22825" xr:uid="{D43D7B1C-BA2C-4AD1-8C37-0A068DD49138}"/>
    <cellStyle name="Currency 5 2 5 4 3 3" xfId="14384" xr:uid="{8EC95EF6-9F92-48CC-8930-38E528512DA4}"/>
    <cellStyle name="Currency 5 2 5 4 4" xfId="18607" xr:uid="{27570E46-F97B-40BB-BA89-C5E21F47EB5C}"/>
    <cellStyle name="Currency 5 2 5 4 5" xfId="10133" xr:uid="{5CC38E5B-F663-4DCD-8554-8621E2A67C84}"/>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5383" xr:uid="{8BC4ADFB-CD27-4D23-8B07-F4A572824707}"/>
    <cellStyle name="Currency 5 2 5 5 2 2 3" xfId="16942" xr:uid="{2437CA14-352E-435A-B0C6-BE9A43911A69}"/>
    <cellStyle name="Currency 5 2 5 5 2 3" xfId="21165" xr:uid="{6A7EB960-5429-49CE-AB42-8D55F3D63386}"/>
    <cellStyle name="Currency 5 2 5 5 2 4" xfId="12723" xr:uid="{C888673B-93E2-45F0-968E-30C5037A3C57}"/>
    <cellStyle name="Currency 5 2 5 5 3" xfId="6303" xr:uid="{00000000-0005-0000-0000-0000610C0000}"/>
    <cellStyle name="Currency 5 2 5 5 3 2" xfId="23238" xr:uid="{4C84AAA1-6148-4205-B688-EF8E086CDA88}"/>
    <cellStyle name="Currency 5 2 5 5 3 3" xfId="14797" xr:uid="{2184F82F-B02F-4ED7-964A-A8E8B549E3FD}"/>
    <cellStyle name="Currency 5 2 5 5 4" xfId="19020" xr:uid="{A0E4A674-7E4E-4B09-B945-8D70DC653148}"/>
    <cellStyle name="Currency 5 2 5 5 5" xfId="10546" xr:uid="{4B5F4F76-5E7D-4EBA-A6D8-56D8A3661BDC}"/>
    <cellStyle name="Currency 5 2 5 6" xfId="2432" xr:uid="{00000000-0005-0000-0000-0000620C0000}"/>
    <cellStyle name="Currency 5 2 5 6 2" xfId="6716" xr:uid="{00000000-0005-0000-0000-0000630C0000}"/>
    <cellStyle name="Currency 5 2 5 6 2 2" xfId="23651" xr:uid="{8C5EE057-32B0-4F1B-8376-047AA309A3F4}"/>
    <cellStyle name="Currency 5 2 5 6 2 3" xfId="15210" xr:uid="{65D40E05-661B-451B-83EB-FAEF26A31BFA}"/>
    <cellStyle name="Currency 5 2 5 6 3" xfId="19433" xr:uid="{75688E3F-B9C9-4409-88B4-246F64D37F6A}"/>
    <cellStyle name="Currency 5 2 5 6 4" xfId="10981" xr:uid="{A7268211-2E38-4D73-8028-CFECD1C2A650}"/>
    <cellStyle name="Currency 5 2 5 7" xfId="2729" xr:uid="{00000000-0005-0000-0000-0000640C0000}"/>
    <cellStyle name="Currency 5 2 5 8" xfId="2810" xr:uid="{00000000-0005-0000-0000-0000650C0000}"/>
    <cellStyle name="Currency 5 2 5 8 2" xfId="7033" xr:uid="{00000000-0005-0000-0000-0000660C0000}"/>
    <cellStyle name="Currency 5 2 5 8 2 2" xfId="23968" xr:uid="{5EFFCAB2-9A79-48DC-A569-A6D802B7E4DE}"/>
    <cellStyle name="Currency 5 2 5 8 2 3" xfId="15527" xr:uid="{0E1A8152-2D5D-4BAA-A5D8-38E4D9D682A0}"/>
    <cellStyle name="Currency 5 2 5 8 3" xfId="19750" xr:uid="{05F019F3-F2EB-4FA0-83FA-3A95E8E059CA}"/>
    <cellStyle name="Currency 5 2 5 8 4" xfId="11308" xr:uid="{4B0AEFD3-9976-4646-8B44-99B6150D2BBA}"/>
    <cellStyle name="Currency 5 2 5 9" xfId="4650" xr:uid="{00000000-0005-0000-0000-0000670C0000}"/>
    <cellStyle name="Currency 5 2 5 9 2" xfId="21585" xr:uid="{006742FF-3229-43AC-B9A8-7E144C49820D}"/>
    <cellStyle name="Currency 5 2 5 9 3" xfId="13144" xr:uid="{D3CF9EB7-DD9E-453E-86E1-6865FBF4792C}"/>
    <cellStyle name="Currency 5 2 6" xfId="208" xr:uid="{00000000-0005-0000-0000-0000680C0000}"/>
    <cellStyle name="Currency 5 2 6 10" xfId="17368" xr:uid="{9C2BBDFC-6FE6-4432-A0DA-364E3F6AF117}"/>
    <cellStyle name="Currency 5 2 6 11" xfId="8893" xr:uid="{09613893-2B5E-4A4B-A32D-00B42F8D7B25}"/>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145" xr:uid="{84C1FF53-4D53-46C8-8B64-AAAB1E67122E}"/>
    <cellStyle name="Currency 5 2 6 2 2 2 3" xfId="15704" xr:uid="{6E797ED8-E00A-401D-9982-24E2DF961753}"/>
    <cellStyle name="Currency 5 2 6 2 2 3" xfId="19927" xr:uid="{72218211-FBD3-479A-BBF8-792A6AE2790B}"/>
    <cellStyle name="Currency 5 2 6 2 2 4" xfId="11485" xr:uid="{7EC662EF-BF45-44EF-84D4-555D272B7112}"/>
    <cellStyle name="Currency 5 2 6 2 3" xfId="5065" xr:uid="{00000000-0005-0000-0000-00006C0C0000}"/>
    <cellStyle name="Currency 5 2 6 2 3 2" xfId="22000" xr:uid="{8B2866C8-9F0E-436D-8EA0-10C1DD7ACB6E}"/>
    <cellStyle name="Currency 5 2 6 2 3 3" xfId="13559" xr:uid="{EDDF3032-BFB9-418B-8CED-CE52F60E26CB}"/>
    <cellStyle name="Currency 5 2 6 2 4" xfId="17782" xr:uid="{90BDA2EC-86E9-4D49-9236-E62150BDC6F1}"/>
    <cellStyle name="Currency 5 2 6 2 5" xfId="9308" xr:uid="{9DD3937C-1855-424A-8D66-1BF5D99760DE}"/>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4558" xr:uid="{5E4F1E1D-EFF4-4C26-96F0-B4E066114B17}"/>
    <cellStyle name="Currency 5 2 6 3 2 2 3" xfId="16117" xr:uid="{02A8DD29-2C10-4F3C-9CD2-42D991F4A958}"/>
    <cellStyle name="Currency 5 2 6 3 2 3" xfId="20340" xr:uid="{5473B83A-4583-47B0-BE67-A1FEBFD46B07}"/>
    <cellStyle name="Currency 5 2 6 3 2 4" xfId="11898" xr:uid="{023F773F-FD7A-4005-BA12-671FB7F6948D}"/>
    <cellStyle name="Currency 5 2 6 3 3" xfId="5478" xr:uid="{00000000-0005-0000-0000-0000700C0000}"/>
    <cellStyle name="Currency 5 2 6 3 3 2" xfId="22413" xr:uid="{3AC9A7DD-7BFE-4257-A6C8-AEB2983381F5}"/>
    <cellStyle name="Currency 5 2 6 3 3 3" xfId="13972" xr:uid="{75469A02-7EFB-4F87-BB21-005E24CACAA6}"/>
    <cellStyle name="Currency 5 2 6 3 4" xfId="18195" xr:uid="{00C64FBD-0935-48DA-876E-ADAADECEBFA8}"/>
    <cellStyle name="Currency 5 2 6 3 5" xfId="9721" xr:uid="{1C2B5200-17F2-4FB0-81EF-F2D10901EB2E}"/>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4971" xr:uid="{EFFBDDFF-8170-4183-BC40-FD71C1B5DE34}"/>
    <cellStyle name="Currency 5 2 6 4 2 2 3" xfId="16530" xr:uid="{452ABB19-C2D9-4ADB-A7AC-91A7108D537D}"/>
    <cellStyle name="Currency 5 2 6 4 2 3" xfId="20753" xr:uid="{46722FF3-193F-4D66-8923-B631554AF6D2}"/>
    <cellStyle name="Currency 5 2 6 4 2 4" xfId="12311" xr:uid="{11038345-FB1F-4E47-99DA-1E21A8BB33DC}"/>
    <cellStyle name="Currency 5 2 6 4 3" xfId="5891" xr:uid="{00000000-0005-0000-0000-0000740C0000}"/>
    <cellStyle name="Currency 5 2 6 4 3 2" xfId="22826" xr:uid="{BC83DEE4-E633-4DF4-9B58-031C2A9D6380}"/>
    <cellStyle name="Currency 5 2 6 4 3 3" xfId="14385" xr:uid="{FBB25248-80BC-42E7-BE61-750C37423E5E}"/>
    <cellStyle name="Currency 5 2 6 4 4" xfId="18608" xr:uid="{A2F3FB5E-F948-45C4-843C-B0D9B534EABA}"/>
    <cellStyle name="Currency 5 2 6 4 5" xfId="10134" xr:uid="{4F7E8935-F1E0-4672-B52C-EB0B54C6AC6B}"/>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5384" xr:uid="{49FCF714-1A9F-43AF-903C-E196A29D8405}"/>
    <cellStyle name="Currency 5 2 6 5 2 2 3" xfId="16943" xr:uid="{82AC35E0-8440-47EC-8945-0DE428BA230A}"/>
    <cellStyle name="Currency 5 2 6 5 2 3" xfId="21166" xr:uid="{9EFA8899-E055-4522-B5FB-5CAD3F88F728}"/>
    <cellStyle name="Currency 5 2 6 5 2 4" xfId="12724" xr:uid="{CE912AD4-4865-44D7-9356-91C893EB4FF6}"/>
    <cellStyle name="Currency 5 2 6 5 3" xfId="6304" xr:uid="{00000000-0005-0000-0000-0000780C0000}"/>
    <cellStyle name="Currency 5 2 6 5 3 2" xfId="23239" xr:uid="{D9B90755-F7EA-4C33-97C0-FCE51490A9F7}"/>
    <cellStyle name="Currency 5 2 6 5 3 3" xfId="14798" xr:uid="{2F96A45B-C486-4AAD-9BC9-F0EDBB65F9FF}"/>
    <cellStyle name="Currency 5 2 6 5 4" xfId="19021" xr:uid="{1F5075F7-7A7B-46EB-9ED6-A0F7A93FF487}"/>
    <cellStyle name="Currency 5 2 6 5 5" xfId="10547" xr:uid="{A0A188C7-47F1-4CC1-B1DE-C11C16AAA6BC}"/>
    <cellStyle name="Currency 5 2 6 6" xfId="2433" xr:uid="{00000000-0005-0000-0000-0000790C0000}"/>
    <cellStyle name="Currency 5 2 6 6 2" xfId="6717" xr:uid="{00000000-0005-0000-0000-00007A0C0000}"/>
    <cellStyle name="Currency 5 2 6 6 2 2" xfId="23652" xr:uid="{A47C69CE-BD9C-4942-81C0-49D7116B2F5A}"/>
    <cellStyle name="Currency 5 2 6 6 2 3" xfId="15211" xr:uid="{CC1FF6E9-D729-4526-A318-14331FBB3BC8}"/>
    <cellStyle name="Currency 5 2 6 6 3" xfId="19434" xr:uid="{196E2A57-6F22-417E-8CA4-4FFFA31BEEDB}"/>
    <cellStyle name="Currency 5 2 6 6 4" xfId="10982" xr:uid="{27EE686D-2815-4D82-AC55-F382AD5A5CA6}"/>
    <cellStyle name="Currency 5 2 6 7" xfId="2730" xr:uid="{00000000-0005-0000-0000-00007B0C0000}"/>
    <cellStyle name="Currency 5 2 6 8" xfId="2811" xr:uid="{00000000-0005-0000-0000-00007C0C0000}"/>
    <cellStyle name="Currency 5 2 6 8 2" xfId="7034" xr:uid="{00000000-0005-0000-0000-00007D0C0000}"/>
    <cellStyle name="Currency 5 2 6 8 2 2" xfId="23969" xr:uid="{1C068D54-F430-467E-BF49-FBE6B7888255}"/>
    <cellStyle name="Currency 5 2 6 8 2 3" xfId="15528" xr:uid="{5AAFAC5D-7334-472D-A84B-1B97DE2CE673}"/>
    <cellStyle name="Currency 5 2 6 8 3" xfId="19751" xr:uid="{9DA1CA69-6349-4074-A6F0-3D0396BC6646}"/>
    <cellStyle name="Currency 5 2 6 8 4" xfId="11309" xr:uid="{0C18EEFC-01CE-46D4-8196-DD46DCAB9387}"/>
    <cellStyle name="Currency 5 2 6 9" xfId="4651" xr:uid="{00000000-0005-0000-0000-00007E0C0000}"/>
    <cellStyle name="Currency 5 2 6 9 2" xfId="21586" xr:uid="{3C93B380-B8BF-4602-BC82-13A6EBF8618A}"/>
    <cellStyle name="Currency 5 2 6 9 3" xfId="13145" xr:uid="{B2BD7F47-B7CB-467D-8E61-4B6846B3B50B}"/>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3970" xr:uid="{3A7C99AE-0B53-4160-946D-5E0DC259810A}"/>
    <cellStyle name="Currency 5 3 2 10 2 3" xfId="15529" xr:uid="{28AA28BA-99A3-4A74-A2C3-59860840EB79}"/>
    <cellStyle name="Currency 5 3 2 10 3" xfId="19752" xr:uid="{DF1FBD15-D115-4D45-A7C4-32056B02E73E}"/>
    <cellStyle name="Currency 5 3 2 10 4" xfId="11310" xr:uid="{B437518E-20E8-4691-B0E7-2F5EC8BE8F50}"/>
    <cellStyle name="Currency 5 3 2 11" xfId="4652" xr:uid="{00000000-0005-0000-0000-0000840C0000}"/>
    <cellStyle name="Currency 5 3 2 11 2" xfId="21587" xr:uid="{BDC0F5AE-9E6B-4BD8-B697-F3FB0E5B9EAF}"/>
    <cellStyle name="Currency 5 3 2 11 3" xfId="13146" xr:uid="{8E9AEFFE-2ED1-49C6-87C8-FFEBA8D4DBCC}"/>
    <cellStyle name="Currency 5 3 2 12" xfId="17369" xr:uid="{31C9A4BE-C0EB-4400-A9F2-7FF4A64DDC2C}"/>
    <cellStyle name="Currency 5 3 2 13" xfId="8894" xr:uid="{4597F5E6-D75F-4F57-B9AD-6E81B162947E}"/>
    <cellStyle name="Currency 5 3 2 2" xfId="211" xr:uid="{00000000-0005-0000-0000-0000850C0000}"/>
    <cellStyle name="Currency 5 3 2 2 10" xfId="4653" xr:uid="{00000000-0005-0000-0000-0000860C0000}"/>
    <cellStyle name="Currency 5 3 2 2 10 2" xfId="21588" xr:uid="{101463CE-023D-4E70-AC62-331FA0D72665}"/>
    <cellStyle name="Currency 5 3 2 2 10 3" xfId="13147" xr:uid="{05A3A067-6E1C-4440-A202-F8069C92EDAC}"/>
    <cellStyle name="Currency 5 3 2 2 11" xfId="17370" xr:uid="{CC614F16-204A-4C32-AF1E-9C2A48D2262D}"/>
    <cellStyle name="Currency 5 3 2 2 12" xfId="8895" xr:uid="{D396FA05-181B-47BA-ADC8-FF1F8C795C68}"/>
    <cellStyle name="Currency 5 3 2 2 2" xfId="212" xr:uid="{00000000-0005-0000-0000-0000870C0000}"/>
    <cellStyle name="Currency 5 3 2 2 2 10" xfId="17371" xr:uid="{3BFFDAB0-2037-4663-8909-0877C85E0895}"/>
    <cellStyle name="Currency 5 3 2 2 2 11" xfId="8896" xr:uid="{061F64BB-3A62-44EC-94C8-4D139DD425B7}"/>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148" xr:uid="{8136C308-6457-4D03-A095-992810BC378C}"/>
    <cellStyle name="Currency 5 3 2 2 2 2 2 2 3" xfId="15707" xr:uid="{94DD83CC-2B8C-4E38-9D76-589949119803}"/>
    <cellStyle name="Currency 5 3 2 2 2 2 2 3" xfId="19930" xr:uid="{56366239-2610-4858-8049-CEC1CE11A06F}"/>
    <cellStyle name="Currency 5 3 2 2 2 2 2 4" xfId="11488" xr:uid="{8B4DAB3C-9921-4480-B6C9-96829652E2A6}"/>
    <cellStyle name="Currency 5 3 2 2 2 2 3" xfId="5068" xr:uid="{00000000-0005-0000-0000-00008B0C0000}"/>
    <cellStyle name="Currency 5 3 2 2 2 2 3 2" xfId="22003" xr:uid="{101F269D-E0D3-4A6B-8BD3-425F739BF711}"/>
    <cellStyle name="Currency 5 3 2 2 2 2 3 3" xfId="13562" xr:uid="{5FE609A0-6C59-4E4A-AA60-85BD95A53291}"/>
    <cellStyle name="Currency 5 3 2 2 2 2 4" xfId="17785" xr:uid="{AA65966F-BA45-410A-81C1-03C6766AF464}"/>
    <cellStyle name="Currency 5 3 2 2 2 2 5" xfId="9311" xr:uid="{2AA59744-1853-42DA-8DEA-680A14E4D8F3}"/>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4561" xr:uid="{EB35C284-61C9-496C-BF4D-075C4410CC78}"/>
    <cellStyle name="Currency 5 3 2 2 2 3 2 2 3" xfId="16120" xr:uid="{AAA671E0-52F8-4324-AD84-17650BFE3310}"/>
    <cellStyle name="Currency 5 3 2 2 2 3 2 3" xfId="20343" xr:uid="{DB81DA23-8DFE-4CF3-B7BC-44FA0593155A}"/>
    <cellStyle name="Currency 5 3 2 2 2 3 2 4" xfId="11901" xr:uid="{2FABD161-68E4-4140-9E43-CCF8AD077DE5}"/>
    <cellStyle name="Currency 5 3 2 2 2 3 3" xfId="5481" xr:uid="{00000000-0005-0000-0000-00008F0C0000}"/>
    <cellStyle name="Currency 5 3 2 2 2 3 3 2" xfId="22416" xr:uid="{081F52AE-CDCC-4F85-84B5-0877ECA132C2}"/>
    <cellStyle name="Currency 5 3 2 2 2 3 3 3" xfId="13975" xr:uid="{478CBC50-1B90-4412-9818-7C5ABA85BBA1}"/>
    <cellStyle name="Currency 5 3 2 2 2 3 4" xfId="18198" xr:uid="{E2CE442E-DD57-4373-B654-473A9C509CD9}"/>
    <cellStyle name="Currency 5 3 2 2 2 3 5" xfId="9724" xr:uid="{9B5197C9-EEA7-4CC2-A7BC-5075433A44C1}"/>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4974" xr:uid="{E2AB7457-E38F-4E92-80C5-7A57A518B99A}"/>
    <cellStyle name="Currency 5 3 2 2 2 4 2 2 3" xfId="16533" xr:uid="{921D8F22-F076-42FA-A988-CC226B80732C}"/>
    <cellStyle name="Currency 5 3 2 2 2 4 2 3" xfId="20756" xr:uid="{B099CA6D-4EF7-458F-82A2-C98A22D055C1}"/>
    <cellStyle name="Currency 5 3 2 2 2 4 2 4" xfId="12314" xr:uid="{A3ABE415-4E09-4B3C-B696-64B9A8F73C21}"/>
    <cellStyle name="Currency 5 3 2 2 2 4 3" xfId="5894" xr:uid="{00000000-0005-0000-0000-0000930C0000}"/>
    <cellStyle name="Currency 5 3 2 2 2 4 3 2" xfId="22829" xr:uid="{7F3EEF34-2529-44FA-B27F-642BE9D7C418}"/>
    <cellStyle name="Currency 5 3 2 2 2 4 3 3" xfId="14388" xr:uid="{D5F449C4-8598-4544-9151-7BC873D6A6DD}"/>
    <cellStyle name="Currency 5 3 2 2 2 4 4" xfId="18611" xr:uid="{C422C157-BAE7-4B97-8306-6ACE9A96D2B8}"/>
    <cellStyle name="Currency 5 3 2 2 2 4 5" xfId="10137" xr:uid="{BBD49A49-C1D8-404C-87DF-04100EFF268D}"/>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5387" xr:uid="{ED10C1EC-5BEE-4C0A-B8E3-E98CAED4E3E1}"/>
    <cellStyle name="Currency 5 3 2 2 2 5 2 2 3" xfId="16946" xr:uid="{0128B1BD-D91D-4026-9930-8496A6A61C73}"/>
    <cellStyle name="Currency 5 3 2 2 2 5 2 3" xfId="21169" xr:uid="{F5168726-B43F-4CAA-B0B7-9BC02190ACD3}"/>
    <cellStyle name="Currency 5 3 2 2 2 5 2 4" xfId="12727" xr:uid="{8F27397C-EDD3-43C8-BEBA-B32AB724D35B}"/>
    <cellStyle name="Currency 5 3 2 2 2 5 3" xfId="6307" xr:uid="{00000000-0005-0000-0000-0000970C0000}"/>
    <cellStyle name="Currency 5 3 2 2 2 5 3 2" xfId="23242" xr:uid="{33CB89E5-1538-4FC6-B16B-3233923FE1A4}"/>
    <cellStyle name="Currency 5 3 2 2 2 5 3 3" xfId="14801" xr:uid="{F86CB8AB-0AF6-4D5F-B6FF-AF5EFF866989}"/>
    <cellStyle name="Currency 5 3 2 2 2 5 4" xfId="19024" xr:uid="{C119D8EE-D2FE-457E-A81D-D19FEF474F83}"/>
    <cellStyle name="Currency 5 3 2 2 2 5 5" xfId="10550" xr:uid="{D2888C54-C0D4-4C9E-BDA3-8FB1FDC5A8A5}"/>
    <cellStyle name="Currency 5 3 2 2 2 6" xfId="2436" xr:uid="{00000000-0005-0000-0000-0000980C0000}"/>
    <cellStyle name="Currency 5 3 2 2 2 6 2" xfId="6720" xr:uid="{00000000-0005-0000-0000-0000990C0000}"/>
    <cellStyle name="Currency 5 3 2 2 2 6 2 2" xfId="23655" xr:uid="{5E7CE642-14BB-4E57-A869-016F9D0D85A7}"/>
    <cellStyle name="Currency 5 3 2 2 2 6 2 3" xfId="15214" xr:uid="{D1AD64CC-C1B1-4F03-A932-9A14CE6F742F}"/>
    <cellStyle name="Currency 5 3 2 2 2 6 3" xfId="19437" xr:uid="{1E9D233F-E7A8-45AC-A4C6-DAC1D586AF19}"/>
    <cellStyle name="Currency 5 3 2 2 2 6 4" xfId="10985" xr:uid="{3A24DE93-866D-478E-8928-A6AFE82E6783}"/>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3972" xr:uid="{1CFA4A5C-FA31-4D82-A8FD-144BF998DDBC}"/>
    <cellStyle name="Currency 5 3 2 2 2 8 2 3" xfId="15531" xr:uid="{D1515DEE-DAA3-4C70-B7F5-9A5BA5877884}"/>
    <cellStyle name="Currency 5 3 2 2 2 8 3" xfId="19754" xr:uid="{8CD340C2-F34B-431D-84BC-951913F40B1C}"/>
    <cellStyle name="Currency 5 3 2 2 2 8 4" xfId="11312" xr:uid="{7D47788B-D4F3-45D4-AE15-63076D49D6C5}"/>
    <cellStyle name="Currency 5 3 2 2 2 9" xfId="4654" xr:uid="{00000000-0005-0000-0000-00009D0C0000}"/>
    <cellStyle name="Currency 5 3 2 2 2 9 2" xfId="21589" xr:uid="{6C6B3272-59FA-4C00-8078-E06323CB05BB}"/>
    <cellStyle name="Currency 5 3 2 2 2 9 3" xfId="13148" xr:uid="{CFEA0958-6D61-4D34-9884-D7327F67200F}"/>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147" xr:uid="{CCD9CB81-F8C6-48F5-8FFB-2564C814BF50}"/>
    <cellStyle name="Currency 5 3 2 2 3 2 2 3" xfId="15706" xr:uid="{FDFCDDF8-52A7-4AF7-A02B-A47BE6EF7CBF}"/>
    <cellStyle name="Currency 5 3 2 2 3 2 3" xfId="19929" xr:uid="{FE45A821-1255-4886-A640-C447D1F5DAD0}"/>
    <cellStyle name="Currency 5 3 2 2 3 2 4" xfId="11487" xr:uid="{71201AFD-8E86-45FA-B90E-68535A408BF5}"/>
    <cellStyle name="Currency 5 3 2 2 3 3" xfId="5067" xr:uid="{00000000-0005-0000-0000-0000A10C0000}"/>
    <cellStyle name="Currency 5 3 2 2 3 3 2" xfId="22002" xr:uid="{7116473B-975F-4FA6-92B8-D8596CC04AEF}"/>
    <cellStyle name="Currency 5 3 2 2 3 3 3" xfId="13561" xr:uid="{F6B0A534-AE42-482A-94BF-272B51F18A37}"/>
    <cellStyle name="Currency 5 3 2 2 3 4" xfId="17784" xr:uid="{128A21EC-5683-46C1-B9D4-BF27CBAD8F30}"/>
    <cellStyle name="Currency 5 3 2 2 3 5" xfId="9310" xr:uid="{5E89555D-C655-4801-97B5-95E0D4CF0002}"/>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4560" xr:uid="{02AD1529-EE66-4F42-BDAE-FA57D977D150}"/>
    <cellStyle name="Currency 5 3 2 2 4 2 2 3" xfId="16119" xr:uid="{9F79570B-05E2-4A8A-82D9-6ABA6E80F44B}"/>
    <cellStyle name="Currency 5 3 2 2 4 2 3" xfId="20342" xr:uid="{AA006E74-C700-4F4F-8C49-BC99AEA4AE79}"/>
    <cellStyle name="Currency 5 3 2 2 4 2 4" xfId="11900" xr:uid="{2BD9FB88-9649-4F1B-BC2E-05C298D3A7E1}"/>
    <cellStyle name="Currency 5 3 2 2 4 3" xfId="5480" xr:uid="{00000000-0005-0000-0000-0000A50C0000}"/>
    <cellStyle name="Currency 5 3 2 2 4 3 2" xfId="22415" xr:uid="{41CA3AB1-ED16-4935-AAA0-D54C5CFB2206}"/>
    <cellStyle name="Currency 5 3 2 2 4 3 3" xfId="13974" xr:uid="{6C1169DB-EFF9-482A-81C4-A8DAE854D646}"/>
    <cellStyle name="Currency 5 3 2 2 4 4" xfId="18197" xr:uid="{6F832E3A-112C-418D-8868-0AC51B4AF09D}"/>
    <cellStyle name="Currency 5 3 2 2 4 5" xfId="9723" xr:uid="{F8C69760-D274-4AF7-BF47-6FD090B096EB}"/>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4973" xr:uid="{6351AD63-7539-411A-A4DF-55C4A5528183}"/>
    <cellStyle name="Currency 5 3 2 2 5 2 2 3" xfId="16532" xr:uid="{8F3766CA-B932-4879-9C8C-7771B24BD567}"/>
    <cellStyle name="Currency 5 3 2 2 5 2 3" xfId="20755" xr:uid="{DFBE613E-CC31-4A0A-B6DB-C9E66EC92F18}"/>
    <cellStyle name="Currency 5 3 2 2 5 2 4" xfId="12313" xr:uid="{00AE26C2-FEC2-41BF-AC46-66BB0BEB3A7A}"/>
    <cellStyle name="Currency 5 3 2 2 5 3" xfId="5893" xr:uid="{00000000-0005-0000-0000-0000A90C0000}"/>
    <cellStyle name="Currency 5 3 2 2 5 3 2" xfId="22828" xr:uid="{6E7FCE08-3C7B-4C34-8F15-2B60831F482F}"/>
    <cellStyle name="Currency 5 3 2 2 5 3 3" xfId="14387" xr:uid="{BA28A574-BF97-4F29-A7FF-420A2B3D0427}"/>
    <cellStyle name="Currency 5 3 2 2 5 4" xfId="18610" xr:uid="{8A1211DE-EF4F-4DA3-AF1D-96B1FACD61FB}"/>
    <cellStyle name="Currency 5 3 2 2 5 5" xfId="10136" xr:uid="{BBA3E97E-D55C-4539-9AB7-F39FB52FDBB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5386" xr:uid="{4E8A2B0A-26A6-44EE-A536-FBF27912E2FB}"/>
    <cellStyle name="Currency 5 3 2 2 6 2 2 3" xfId="16945" xr:uid="{6BB02237-6EC8-4A1F-A0D6-2DD061EE616E}"/>
    <cellStyle name="Currency 5 3 2 2 6 2 3" xfId="21168" xr:uid="{5F41EE51-5626-489E-8760-AA35066E3E66}"/>
    <cellStyle name="Currency 5 3 2 2 6 2 4" xfId="12726" xr:uid="{6F6A5029-98D6-437A-9B6B-3E889661D29D}"/>
    <cellStyle name="Currency 5 3 2 2 6 3" xfId="6306" xr:uid="{00000000-0005-0000-0000-0000AD0C0000}"/>
    <cellStyle name="Currency 5 3 2 2 6 3 2" xfId="23241" xr:uid="{C3FF7B84-45D9-4BE7-AB1D-998FD13FA726}"/>
    <cellStyle name="Currency 5 3 2 2 6 3 3" xfId="14800" xr:uid="{2A813BEE-1509-4FB9-BB99-55BF573EDCE7}"/>
    <cellStyle name="Currency 5 3 2 2 6 4" xfId="19023" xr:uid="{56A1117C-5D29-4CE0-9A08-0C7FA250306F}"/>
    <cellStyle name="Currency 5 3 2 2 6 5" xfId="10549" xr:uid="{573477C0-DCD8-4733-8F9F-8C8AC19002DB}"/>
    <cellStyle name="Currency 5 3 2 2 7" xfId="2435" xr:uid="{00000000-0005-0000-0000-0000AE0C0000}"/>
    <cellStyle name="Currency 5 3 2 2 7 2" xfId="6719" xr:uid="{00000000-0005-0000-0000-0000AF0C0000}"/>
    <cellStyle name="Currency 5 3 2 2 7 2 2" xfId="23654" xr:uid="{15778997-DFAE-4513-B742-8800CCD24478}"/>
    <cellStyle name="Currency 5 3 2 2 7 2 3" xfId="15213" xr:uid="{7B405656-1477-4593-A4A5-7BC55C6421A5}"/>
    <cellStyle name="Currency 5 3 2 2 7 3" xfId="19436" xr:uid="{1F6C4198-A2F2-4DC3-BE9F-5A679FB9D6F2}"/>
    <cellStyle name="Currency 5 3 2 2 7 4" xfId="10984" xr:uid="{080DAEE5-6B47-4F0B-9F69-47498C049DBA}"/>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3971" xr:uid="{05AAE590-5B0A-4DDD-99E4-260174A5379F}"/>
    <cellStyle name="Currency 5 3 2 2 9 2 3" xfId="15530" xr:uid="{B8304C09-7B9D-479C-928A-197266D95890}"/>
    <cellStyle name="Currency 5 3 2 2 9 3" xfId="19753" xr:uid="{E5D3A304-5F15-42DD-8274-A1952A7533A1}"/>
    <cellStyle name="Currency 5 3 2 2 9 4" xfId="11311" xr:uid="{862C546D-F71C-4A51-9F47-89C60826455C}"/>
    <cellStyle name="Currency 5 3 2 3" xfId="213" xr:uid="{00000000-0005-0000-0000-0000B30C0000}"/>
    <cellStyle name="Currency 5 3 2 3 10" xfId="17372" xr:uid="{F5AF55BB-1B07-402C-9F99-74C2CEB3AC02}"/>
    <cellStyle name="Currency 5 3 2 3 11" xfId="8897" xr:uid="{DB2EBDB0-2DCF-4F8D-A2A3-51C944B7AAAB}"/>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149" xr:uid="{6EDEECEB-39D9-4E05-98DE-3CE76DD8C543}"/>
    <cellStyle name="Currency 5 3 2 3 2 2 2 3" xfId="15708" xr:uid="{35F4899D-4E88-4B23-A2BF-08704AC5BBC8}"/>
    <cellStyle name="Currency 5 3 2 3 2 2 3" xfId="19931" xr:uid="{681B3A0F-2204-4E9A-8562-EA5489503786}"/>
    <cellStyle name="Currency 5 3 2 3 2 2 4" xfId="11489" xr:uid="{63AF5D15-88DD-46E4-937A-BAC5DA63B1B9}"/>
    <cellStyle name="Currency 5 3 2 3 2 3" xfId="5069" xr:uid="{00000000-0005-0000-0000-0000B70C0000}"/>
    <cellStyle name="Currency 5 3 2 3 2 3 2" xfId="22004" xr:uid="{065B4CAC-6F0B-43CB-B5BE-A07D5D26F3E6}"/>
    <cellStyle name="Currency 5 3 2 3 2 3 3" xfId="13563" xr:uid="{DB011340-F8BD-4E23-882B-5876BD3A588C}"/>
    <cellStyle name="Currency 5 3 2 3 2 4" xfId="17786" xr:uid="{E3B1F01E-318E-44CD-92B7-FD760B35BAB7}"/>
    <cellStyle name="Currency 5 3 2 3 2 5" xfId="9312" xr:uid="{61A5B9C1-05F0-4DFA-860B-B8463A917602}"/>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4562" xr:uid="{800F198E-9CAA-4977-999E-A1CE1F024838}"/>
    <cellStyle name="Currency 5 3 2 3 3 2 2 3" xfId="16121" xr:uid="{D83747EC-9772-4C6B-B356-E9431942F484}"/>
    <cellStyle name="Currency 5 3 2 3 3 2 3" xfId="20344" xr:uid="{66ECD33C-0923-4EAE-9A68-70AB9A5B454F}"/>
    <cellStyle name="Currency 5 3 2 3 3 2 4" xfId="11902" xr:uid="{88596AB4-1CBA-4427-B0A9-3A1249C212C8}"/>
    <cellStyle name="Currency 5 3 2 3 3 3" xfId="5482" xr:uid="{00000000-0005-0000-0000-0000BB0C0000}"/>
    <cellStyle name="Currency 5 3 2 3 3 3 2" xfId="22417" xr:uid="{C4A08DC2-6CEB-43A7-9960-AB76B6C97AB4}"/>
    <cellStyle name="Currency 5 3 2 3 3 3 3" xfId="13976" xr:uid="{BDBF14E9-F85B-4881-8E98-BB8F52669C83}"/>
    <cellStyle name="Currency 5 3 2 3 3 4" xfId="18199" xr:uid="{D7ACE10E-650B-4F90-8C73-B5ADD978A15F}"/>
    <cellStyle name="Currency 5 3 2 3 3 5" xfId="9725" xr:uid="{ED036407-4648-4762-9D03-ECB4583AD2B8}"/>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4975" xr:uid="{300D4D16-446D-4689-B426-BB62C1C3CF94}"/>
    <cellStyle name="Currency 5 3 2 3 4 2 2 3" xfId="16534" xr:uid="{1AC91B59-DE74-42AD-BFBC-D218B2CBC4BB}"/>
    <cellStyle name="Currency 5 3 2 3 4 2 3" xfId="20757" xr:uid="{576C63A4-128C-4177-8FA9-170E85417CAC}"/>
    <cellStyle name="Currency 5 3 2 3 4 2 4" xfId="12315" xr:uid="{E8DEEDDE-81D1-434C-B14A-5D2FE6BA61E8}"/>
    <cellStyle name="Currency 5 3 2 3 4 3" xfId="5895" xr:uid="{00000000-0005-0000-0000-0000BF0C0000}"/>
    <cellStyle name="Currency 5 3 2 3 4 3 2" xfId="22830" xr:uid="{829A972C-6CBB-4BF5-B344-2C1E19B25CA3}"/>
    <cellStyle name="Currency 5 3 2 3 4 3 3" xfId="14389" xr:uid="{EA91B6B9-C207-4CAD-A2E3-D40B8B2693D8}"/>
    <cellStyle name="Currency 5 3 2 3 4 4" xfId="18612" xr:uid="{412DF32D-61EC-42D9-87B2-11CB345C9ABF}"/>
    <cellStyle name="Currency 5 3 2 3 4 5" xfId="10138" xr:uid="{EE21E19B-1B6B-49FA-8061-1B78A79B4175}"/>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5388" xr:uid="{05888368-F678-41F8-8B27-BCB6874CB084}"/>
    <cellStyle name="Currency 5 3 2 3 5 2 2 3" xfId="16947" xr:uid="{11141772-5C94-4C2C-9587-C9B1816EF8CC}"/>
    <cellStyle name="Currency 5 3 2 3 5 2 3" xfId="21170" xr:uid="{F6630FB1-F5D4-491B-9FF0-7AB325E00855}"/>
    <cellStyle name="Currency 5 3 2 3 5 2 4" xfId="12728" xr:uid="{7C3D8C13-D4F1-454C-AA82-0F0EE674431B}"/>
    <cellStyle name="Currency 5 3 2 3 5 3" xfId="6308" xr:uid="{00000000-0005-0000-0000-0000C30C0000}"/>
    <cellStyle name="Currency 5 3 2 3 5 3 2" xfId="23243" xr:uid="{80173C55-AEE9-4CED-880F-5BEACC5A7284}"/>
    <cellStyle name="Currency 5 3 2 3 5 3 3" xfId="14802" xr:uid="{6327D1A6-2DDC-4FB8-9C69-440AA779C320}"/>
    <cellStyle name="Currency 5 3 2 3 5 4" xfId="19025" xr:uid="{C5A68736-2694-4360-8B55-622A07D63C1D}"/>
    <cellStyle name="Currency 5 3 2 3 5 5" xfId="10551" xr:uid="{3E7AAB2B-185B-4835-8BAC-DF0416A26742}"/>
    <cellStyle name="Currency 5 3 2 3 6" xfId="2437" xr:uid="{00000000-0005-0000-0000-0000C40C0000}"/>
    <cellStyle name="Currency 5 3 2 3 6 2" xfId="6721" xr:uid="{00000000-0005-0000-0000-0000C50C0000}"/>
    <cellStyle name="Currency 5 3 2 3 6 2 2" xfId="23656" xr:uid="{0278253D-99BB-452A-94BD-675A8459D50C}"/>
    <cellStyle name="Currency 5 3 2 3 6 2 3" xfId="15215" xr:uid="{8B5A79A5-D409-4459-A565-D5C112BE1C59}"/>
    <cellStyle name="Currency 5 3 2 3 6 3" xfId="19438" xr:uid="{C689199D-5FE9-4469-B2AF-949A5B80AB7A}"/>
    <cellStyle name="Currency 5 3 2 3 6 4" xfId="10986" xr:uid="{CADB8D0D-7A7C-48EF-8B88-1C6A4858A40A}"/>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3973" xr:uid="{EEE9D562-6154-4FE1-8B1B-F9563D029921}"/>
    <cellStyle name="Currency 5 3 2 3 8 2 3" xfId="15532" xr:uid="{02879022-3782-48F6-B7B6-AE131D43A103}"/>
    <cellStyle name="Currency 5 3 2 3 8 3" xfId="19755" xr:uid="{42EF254C-65B5-4B3E-8258-CB5E7D6733D4}"/>
    <cellStyle name="Currency 5 3 2 3 8 4" xfId="11313" xr:uid="{10C2CB7E-557F-4A7A-8E5A-980E1BA17941}"/>
    <cellStyle name="Currency 5 3 2 3 9" xfId="4655" xr:uid="{00000000-0005-0000-0000-0000C90C0000}"/>
    <cellStyle name="Currency 5 3 2 3 9 2" xfId="21590" xr:uid="{9E2AD8A7-9D4A-4AF6-B404-DC47470649D8}"/>
    <cellStyle name="Currency 5 3 2 3 9 3" xfId="13149" xr:uid="{79B8410E-52FC-4EBF-94F9-E7ABC113C32B}"/>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146" xr:uid="{A6961EAB-6E2B-47F3-9E6D-B7CBF9731B12}"/>
    <cellStyle name="Currency 5 3 2 4 2 2 3" xfId="15705" xr:uid="{B22F5CBB-6EA2-4142-91CF-3C06D4DCDD32}"/>
    <cellStyle name="Currency 5 3 2 4 2 3" xfId="19928" xr:uid="{DB31F914-C942-413A-8A8A-9B05F004DAAD}"/>
    <cellStyle name="Currency 5 3 2 4 2 4" xfId="11486" xr:uid="{61A94D0F-E499-4B94-9119-698985BAE53E}"/>
    <cellStyle name="Currency 5 3 2 4 3" xfId="5066" xr:uid="{00000000-0005-0000-0000-0000CD0C0000}"/>
    <cellStyle name="Currency 5 3 2 4 3 2" xfId="22001" xr:uid="{9C063C56-B5BA-4A0A-91EB-CA9F55E0DA2A}"/>
    <cellStyle name="Currency 5 3 2 4 3 3" xfId="13560" xr:uid="{F60C2861-94B1-49FB-8CE2-D54BF0C59704}"/>
    <cellStyle name="Currency 5 3 2 4 4" xfId="17783" xr:uid="{22FB34B9-8AA3-4403-83DE-CDF626B2B111}"/>
    <cellStyle name="Currency 5 3 2 4 5" xfId="9309" xr:uid="{21F13B11-3A7E-4130-995D-CA4D3DE8CAEE}"/>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4559" xr:uid="{B6BF1CEC-7834-421D-852B-2E5444BEE493}"/>
    <cellStyle name="Currency 5 3 2 5 2 2 3" xfId="16118" xr:uid="{8C4DEF1E-7CEE-4789-9585-D5EDD73A2AC1}"/>
    <cellStyle name="Currency 5 3 2 5 2 3" xfId="20341" xr:uid="{4EA9FA72-4DE0-4017-8D12-DC95999717EC}"/>
    <cellStyle name="Currency 5 3 2 5 2 4" xfId="11899" xr:uid="{E77CED83-DBAB-4104-8C1A-4FC9CC27FB99}"/>
    <cellStyle name="Currency 5 3 2 5 3" xfId="5479" xr:uid="{00000000-0005-0000-0000-0000D10C0000}"/>
    <cellStyle name="Currency 5 3 2 5 3 2" xfId="22414" xr:uid="{B2249E66-D632-4BB5-A399-128FCF907679}"/>
    <cellStyle name="Currency 5 3 2 5 3 3" xfId="13973" xr:uid="{E8B09F85-31B3-4211-AFF1-7D7410449F3E}"/>
    <cellStyle name="Currency 5 3 2 5 4" xfId="18196" xr:uid="{30A6BDA9-C630-41DA-86FA-4E61F617D92A}"/>
    <cellStyle name="Currency 5 3 2 5 5" xfId="9722" xr:uid="{EFC68BC2-01BF-4320-AF19-BF8056F5EBF9}"/>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4972" xr:uid="{31A67B74-D2D7-4CE3-AAF2-91950B956308}"/>
    <cellStyle name="Currency 5 3 2 6 2 2 3" xfId="16531" xr:uid="{7B0BE9E2-EB9D-43D4-9313-DDFB8782A07A}"/>
    <cellStyle name="Currency 5 3 2 6 2 3" xfId="20754" xr:uid="{A0521FA3-517D-4338-AA24-5B7CAE3B16DC}"/>
    <cellStyle name="Currency 5 3 2 6 2 4" xfId="12312" xr:uid="{A68EFAA2-7530-46E5-ABFD-060E3DA8762D}"/>
    <cellStyle name="Currency 5 3 2 6 3" xfId="5892" xr:uid="{00000000-0005-0000-0000-0000D50C0000}"/>
    <cellStyle name="Currency 5 3 2 6 3 2" xfId="22827" xr:uid="{F1FF83CF-8E7A-468A-B831-FAC91BE7107F}"/>
    <cellStyle name="Currency 5 3 2 6 3 3" xfId="14386" xr:uid="{72DBE00A-522F-41C8-9BF1-A11BD4CEA066}"/>
    <cellStyle name="Currency 5 3 2 6 4" xfId="18609" xr:uid="{300776BA-A7D0-4466-9C79-A58F36CD5C38}"/>
    <cellStyle name="Currency 5 3 2 6 5" xfId="10135" xr:uid="{506B5159-9555-4ADA-9C6A-9812A29DE802}"/>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5385" xr:uid="{7769D720-F585-42F1-BED0-FEEBA4D79BD1}"/>
    <cellStyle name="Currency 5 3 2 7 2 2 3" xfId="16944" xr:uid="{CE831BB9-8A3C-4E2C-BAFD-B3F897A581C9}"/>
    <cellStyle name="Currency 5 3 2 7 2 3" xfId="21167" xr:uid="{5EE91AFA-691B-4378-A069-4E358C5BF148}"/>
    <cellStyle name="Currency 5 3 2 7 2 4" xfId="12725" xr:uid="{E61ADE0B-4991-4F11-8CCE-11B9BFC50453}"/>
    <cellStyle name="Currency 5 3 2 7 3" xfId="6305" xr:uid="{00000000-0005-0000-0000-0000D90C0000}"/>
    <cellStyle name="Currency 5 3 2 7 3 2" xfId="23240" xr:uid="{C40ABB99-510C-4564-AABA-62D61316C30E}"/>
    <cellStyle name="Currency 5 3 2 7 3 3" xfId="14799" xr:uid="{37DD546D-F647-4FBA-8ED1-EF573558509E}"/>
    <cellStyle name="Currency 5 3 2 7 4" xfId="19022" xr:uid="{156E65C6-1585-4A36-AEC5-C6B9B1185F90}"/>
    <cellStyle name="Currency 5 3 2 7 5" xfId="10548" xr:uid="{6F6B2CEC-2CA1-4E5E-BDCC-F664751ECAD3}"/>
    <cellStyle name="Currency 5 3 2 8" xfId="2434" xr:uid="{00000000-0005-0000-0000-0000DA0C0000}"/>
    <cellStyle name="Currency 5 3 2 8 2" xfId="6718" xr:uid="{00000000-0005-0000-0000-0000DB0C0000}"/>
    <cellStyle name="Currency 5 3 2 8 2 2" xfId="23653" xr:uid="{8DFF39BC-9F2E-4EF6-8990-9F74910AFC69}"/>
    <cellStyle name="Currency 5 3 2 8 2 3" xfId="15212" xr:uid="{967C94E2-9BB9-4CD7-8195-38C4D54C3BCA}"/>
    <cellStyle name="Currency 5 3 2 8 3" xfId="19435" xr:uid="{6C41EBFD-D187-4888-8E6F-2E27978BB890}"/>
    <cellStyle name="Currency 5 3 2 8 4" xfId="10983" xr:uid="{CFA10719-92C9-46B9-8C3F-3CBFD77AD0DE}"/>
    <cellStyle name="Currency 5 3 2 9" xfId="2731" xr:uid="{00000000-0005-0000-0000-0000DC0C0000}"/>
    <cellStyle name="Currency 5 3 3" xfId="214" xr:uid="{00000000-0005-0000-0000-0000DD0C0000}"/>
    <cellStyle name="Currency 5 3 3 10" xfId="4656" xr:uid="{00000000-0005-0000-0000-0000DE0C0000}"/>
    <cellStyle name="Currency 5 3 3 10 2" xfId="21591" xr:uid="{7B20A83B-0DE0-4753-9E71-35B2951D3099}"/>
    <cellStyle name="Currency 5 3 3 10 3" xfId="13150" xr:uid="{D7316CED-F77A-4FF9-A560-95A22ED6F71D}"/>
    <cellStyle name="Currency 5 3 3 11" xfId="17373" xr:uid="{FABE0871-0150-4BA7-9D89-D5870FD64ADA}"/>
    <cellStyle name="Currency 5 3 3 12" xfId="8898" xr:uid="{2D76A729-ADA5-4065-BCBA-AC79ADDDC32F}"/>
    <cellStyle name="Currency 5 3 3 2" xfId="215" xr:uid="{00000000-0005-0000-0000-0000DF0C0000}"/>
    <cellStyle name="Currency 5 3 3 2 10" xfId="17374" xr:uid="{227C21B1-9EFA-49D9-97CF-FD6E533F5F04}"/>
    <cellStyle name="Currency 5 3 3 2 11" xfId="8899" xr:uid="{BBF6B739-63A6-40EE-A7A8-AF44310B383D}"/>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151" xr:uid="{DFBF8008-9C87-4F21-B5F7-4DA28BE1FE79}"/>
    <cellStyle name="Currency 5 3 3 2 2 2 2 3" xfId="15710" xr:uid="{4AC97E02-03FE-4CD6-A63D-175D9F302BE6}"/>
    <cellStyle name="Currency 5 3 3 2 2 2 3" xfId="19933" xr:uid="{5C3B43F0-7C8C-4B49-B67A-CD23D9D61772}"/>
    <cellStyle name="Currency 5 3 3 2 2 2 4" xfId="11491" xr:uid="{A163ABE7-1E89-4847-974D-96E64B6B16C8}"/>
    <cellStyle name="Currency 5 3 3 2 2 3" xfId="5071" xr:uid="{00000000-0005-0000-0000-0000E30C0000}"/>
    <cellStyle name="Currency 5 3 3 2 2 3 2" xfId="22006" xr:uid="{ED09DDE2-5324-4E32-9305-01C493B2C9C9}"/>
    <cellStyle name="Currency 5 3 3 2 2 3 3" xfId="13565" xr:uid="{B857E63C-6525-402F-AB91-87DE63E08783}"/>
    <cellStyle name="Currency 5 3 3 2 2 4" xfId="17788" xr:uid="{D5743B01-0D65-43F1-ABEF-B36054C651FC}"/>
    <cellStyle name="Currency 5 3 3 2 2 5" xfId="9314" xr:uid="{75686F49-FC51-43F9-84C8-0C93AEA0A88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4564" xr:uid="{0139574E-1BD3-4AE2-A6DF-AD1CE834D8FF}"/>
    <cellStyle name="Currency 5 3 3 2 3 2 2 3" xfId="16123" xr:uid="{C6F445F7-3605-4D3A-93F0-B29F606DFF5F}"/>
    <cellStyle name="Currency 5 3 3 2 3 2 3" xfId="20346" xr:uid="{B38A511C-8B59-46AF-A0A1-2083EDB9ABE8}"/>
    <cellStyle name="Currency 5 3 3 2 3 2 4" xfId="11904" xr:uid="{1EE9376D-24CD-4F7D-AA81-DABE2F2F62AE}"/>
    <cellStyle name="Currency 5 3 3 2 3 3" xfId="5484" xr:uid="{00000000-0005-0000-0000-0000E70C0000}"/>
    <cellStyle name="Currency 5 3 3 2 3 3 2" xfId="22419" xr:uid="{4CF9E558-7BEA-4D48-8399-BBE5AB33DD4F}"/>
    <cellStyle name="Currency 5 3 3 2 3 3 3" xfId="13978" xr:uid="{BC7A0B18-DB20-423E-AC5E-25729EA35F5C}"/>
    <cellStyle name="Currency 5 3 3 2 3 4" xfId="18201" xr:uid="{57781E6F-1380-4C10-B071-AF4776614953}"/>
    <cellStyle name="Currency 5 3 3 2 3 5" xfId="9727" xr:uid="{D8A02C5A-3321-43D7-8204-DAD070533489}"/>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4977" xr:uid="{F3B6878C-98A1-4417-9B2E-B7AA38363779}"/>
    <cellStyle name="Currency 5 3 3 2 4 2 2 3" xfId="16536" xr:uid="{B5FC2A1D-C9BD-44FF-B7D3-17B267BD2668}"/>
    <cellStyle name="Currency 5 3 3 2 4 2 3" xfId="20759" xr:uid="{8A0AE110-5028-4733-8723-1431DF265201}"/>
    <cellStyle name="Currency 5 3 3 2 4 2 4" xfId="12317" xr:uid="{1783A77D-ECDD-40BE-985B-16BC53F24E2E}"/>
    <cellStyle name="Currency 5 3 3 2 4 3" xfId="5897" xr:uid="{00000000-0005-0000-0000-0000EB0C0000}"/>
    <cellStyle name="Currency 5 3 3 2 4 3 2" xfId="22832" xr:uid="{45F1AB26-9B39-459A-B93F-FFBD664BF1C4}"/>
    <cellStyle name="Currency 5 3 3 2 4 3 3" xfId="14391" xr:uid="{F7C8A1D6-152B-495E-85F1-5935AC4A4D76}"/>
    <cellStyle name="Currency 5 3 3 2 4 4" xfId="18614" xr:uid="{D35A3386-DC30-4B2E-9F90-080D6600FE6A}"/>
    <cellStyle name="Currency 5 3 3 2 4 5" xfId="10140" xr:uid="{75AEFF2B-2158-4894-B207-CF2E9AF6695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5390" xr:uid="{46B5CD89-BAA3-42C6-8074-3A7922608BDE}"/>
    <cellStyle name="Currency 5 3 3 2 5 2 2 3" xfId="16949" xr:uid="{36A98207-16E7-4BAE-9215-33D7CE5B47FD}"/>
    <cellStyle name="Currency 5 3 3 2 5 2 3" xfId="21172" xr:uid="{08B2F6CD-D413-4C1F-B348-E2BE10A2E116}"/>
    <cellStyle name="Currency 5 3 3 2 5 2 4" xfId="12730" xr:uid="{9A3F3DAC-C918-4459-823D-29E3558C8CDC}"/>
    <cellStyle name="Currency 5 3 3 2 5 3" xfId="6310" xr:uid="{00000000-0005-0000-0000-0000EF0C0000}"/>
    <cellStyle name="Currency 5 3 3 2 5 3 2" xfId="23245" xr:uid="{5E9F9FBF-607C-48CC-8E8A-34892666AF4A}"/>
    <cellStyle name="Currency 5 3 3 2 5 3 3" xfId="14804" xr:uid="{46AB6A9A-287A-4427-A57E-C89247A226AA}"/>
    <cellStyle name="Currency 5 3 3 2 5 4" xfId="19027" xr:uid="{C85E307F-A5F8-4C8A-A29A-7FF4466A7654}"/>
    <cellStyle name="Currency 5 3 3 2 5 5" xfId="10553" xr:uid="{70B62476-A1F6-44E5-826A-9AB1D95FD509}"/>
    <cellStyle name="Currency 5 3 3 2 6" xfId="2439" xr:uid="{00000000-0005-0000-0000-0000F00C0000}"/>
    <cellStyle name="Currency 5 3 3 2 6 2" xfId="6723" xr:uid="{00000000-0005-0000-0000-0000F10C0000}"/>
    <cellStyle name="Currency 5 3 3 2 6 2 2" xfId="23658" xr:uid="{68FF595E-C766-4A75-A77D-89021C57E3C2}"/>
    <cellStyle name="Currency 5 3 3 2 6 2 3" xfId="15217" xr:uid="{9EB93E81-B9D8-4A11-8DEC-794E51E47E58}"/>
    <cellStyle name="Currency 5 3 3 2 6 3" xfId="19440" xr:uid="{BF49051B-3612-49E1-89AD-B218782DAADD}"/>
    <cellStyle name="Currency 5 3 3 2 6 4" xfId="10988" xr:uid="{986FD252-613E-424B-A5AA-CC1066F36CF7}"/>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3975" xr:uid="{36BC1D25-C562-4EAB-8747-8CD566F0EA7C}"/>
    <cellStyle name="Currency 5 3 3 2 8 2 3" xfId="15534" xr:uid="{C53684E5-CE27-4D7E-B960-3D0286C301B3}"/>
    <cellStyle name="Currency 5 3 3 2 8 3" xfId="19757" xr:uid="{1C6A010A-11C7-423C-9BA9-2A1C8C5548F5}"/>
    <cellStyle name="Currency 5 3 3 2 8 4" xfId="11315" xr:uid="{3761561B-EA7F-4168-9EBA-EF09EBBA635F}"/>
    <cellStyle name="Currency 5 3 3 2 9" xfId="4657" xr:uid="{00000000-0005-0000-0000-0000F50C0000}"/>
    <cellStyle name="Currency 5 3 3 2 9 2" xfId="21592" xr:uid="{97EE6BCD-AF85-44FA-90F2-908D48D7284E}"/>
    <cellStyle name="Currency 5 3 3 2 9 3" xfId="13151" xr:uid="{C477CE0F-707A-4640-B317-D871E8142531}"/>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150" xr:uid="{611F2C04-B2A8-4CE3-A20B-A76A05CFE55A}"/>
    <cellStyle name="Currency 5 3 3 3 2 2 3" xfId="15709" xr:uid="{D6C9C9BE-ED22-4200-B08B-78746FDE42A8}"/>
    <cellStyle name="Currency 5 3 3 3 2 3" xfId="19932" xr:uid="{6448C661-E4CD-47A5-AF5B-46250A8C8D07}"/>
    <cellStyle name="Currency 5 3 3 3 2 4" xfId="11490" xr:uid="{577807C4-DDCB-440E-9539-59D222912858}"/>
    <cellStyle name="Currency 5 3 3 3 3" xfId="5070" xr:uid="{00000000-0005-0000-0000-0000F90C0000}"/>
    <cellStyle name="Currency 5 3 3 3 3 2" xfId="22005" xr:uid="{53213305-B246-4A1D-87BA-E8D63DB5A275}"/>
    <cellStyle name="Currency 5 3 3 3 3 3" xfId="13564" xr:uid="{4CF99061-77E9-4889-BA97-D2FAA0B548CE}"/>
    <cellStyle name="Currency 5 3 3 3 4" xfId="17787" xr:uid="{711640F4-AFA9-4A7F-85A6-BBC88515DA6D}"/>
    <cellStyle name="Currency 5 3 3 3 5" xfId="9313" xr:uid="{F2C610AF-B090-473E-94C6-747478063F5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4563" xr:uid="{1141C56B-4135-418B-A710-6E5C1955BFDE}"/>
    <cellStyle name="Currency 5 3 3 4 2 2 3" xfId="16122" xr:uid="{BCB1C296-4015-46E1-A137-46EFDB837816}"/>
    <cellStyle name="Currency 5 3 3 4 2 3" xfId="20345" xr:uid="{77D6E945-A37C-4042-B84E-D696C4840A55}"/>
    <cellStyle name="Currency 5 3 3 4 2 4" xfId="11903" xr:uid="{F5D57440-9581-4EDA-AC85-60116AF35685}"/>
    <cellStyle name="Currency 5 3 3 4 3" xfId="5483" xr:uid="{00000000-0005-0000-0000-0000FD0C0000}"/>
    <cellStyle name="Currency 5 3 3 4 3 2" xfId="22418" xr:uid="{686D628C-E4A3-4BB7-B0EE-152AA8E39D12}"/>
    <cellStyle name="Currency 5 3 3 4 3 3" xfId="13977" xr:uid="{9AB99B49-5101-4679-8D30-3E21D70B2279}"/>
    <cellStyle name="Currency 5 3 3 4 4" xfId="18200" xr:uid="{A73E8EE7-BAF2-46B0-8BC7-BD3725172E86}"/>
    <cellStyle name="Currency 5 3 3 4 5" xfId="9726" xr:uid="{21E59F76-F400-41DB-8623-50E5A452D927}"/>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4976" xr:uid="{22477D33-3686-40E4-8898-3D94A19E69DB}"/>
    <cellStyle name="Currency 5 3 3 5 2 2 3" xfId="16535" xr:uid="{4A82B228-9619-4BD5-9B95-760A619B126D}"/>
    <cellStyle name="Currency 5 3 3 5 2 3" xfId="20758" xr:uid="{6DC28044-EE02-4D0F-B99D-C62A993DE17E}"/>
    <cellStyle name="Currency 5 3 3 5 2 4" xfId="12316" xr:uid="{E16AC77C-8C15-4CFD-A737-626DC77D03DD}"/>
    <cellStyle name="Currency 5 3 3 5 3" xfId="5896" xr:uid="{00000000-0005-0000-0000-0000010D0000}"/>
    <cellStyle name="Currency 5 3 3 5 3 2" xfId="22831" xr:uid="{2402084D-2768-4E32-9B85-5763CBDC7930}"/>
    <cellStyle name="Currency 5 3 3 5 3 3" xfId="14390" xr:uid="{B48BA0D8-A79F-4193-8729-13FF9496EE46}"/>
    <cellStyle name="Currency 5 3 3 5 4" xfId="18613" xr:uid="{ED482FB3-8B06-4924-A132-615B34150992}"/>
    <cellStyle name="Currency 5 3 3 5 5" xfId="10139" xr:uid="{1991FA51-2631-4F6A-9C2D-A94910D95753}"/>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5389" xr:uid="{F8C91282-D6FB-4B21-B1F7-88F54DD57785}"/>
    <cellStyle name="Currency 5 3 3 6 2 2 3" xfId="16948" xr:uid="{62917279-805D-4D2A-AB8F-1A009D585A25}"/>
    <cellStyle name="Currency 5 3 3 6 2 3" xfId="21171" xr:uid="{80E5FB7D-5A86-4C50-8DB7-989838EA77FF}"/>
    <cellStyle name="Currency 5 3 3 6 2 4" xfId="12729" xr:uid="{EF4FE030-1E98-4C8D-929D-287EBD86293B}"/>
    <cellStyle name="Currency 5 3 3 6 3" xfId="6309" xr:uid="{00000000-0005-0000-0000-0000050D0000}"/>
    <cellStyle name="Currency 5 3 3 6 3 2" xfId="23244" xr:uid="{98B2F726-868B-46CF-BD32-1FB46D2969B9}"/>
    <cellStyle name="Currency 5 3 3 6 3 3" xfId="14803" xr:uid="{587DBFA8-E775-4727-8137-3AEE50AD55E5}"/>
    <cellStyle name="Currency 5 3 3 6 4" xfId="19026" xr:uid="{E833C830-C69C-4033-9D01-FDC043A586B3}"/>
    <cellStyle name="Currency 5 3 3 6 5" xfId="10552" xr:uid="{059B8834-1C07-44E7-B239-2EAEADB1C953}"/>
    <cellStyle name="Currency 5 3 3 7" xfId="2438" xr:uid="{00000000-0005-0000-0000-0000060D0000}"/>
    <cellStyle name="Currency 5 3 3 7 2" xfId="6722" xr:uid="{00000000-0005-0000-0000-0000070D0000}"/>
    <cellStyle name="Currency 5 3 3 7 2 2" xfId="23657" xr:uid="{D05018F6-B77F-4D92-9A1D-440F63441AE1}"/>
    <cellStyle name="Currency 5 3 3 7 2 3" xfId="15216" xr:uid="{8AE44869-39A3-4977-9A0F-27348F99EA58}"/>
    <cellStyle name="Currency 5 3 3 7 3" xfId="19439" xr:uid="{50E5CFF6-2CCA-4B97-A04A-0FDC642A3EF8}"/>
    <cellStyle name="Currency 5 3 3 7 4" xfId="10987" xr:uid="{CAEF131B-82CB-4476-BA19-BBAA0E4E0BA7}"/>
    <cellStyle name="Currency 5 3 3 8" xfId="2735" xr:uid="{00000000-0005-0000-0000-0000080D0000}"/>
    <cellStyle name="Currency 5 3 3 9" xfId="2816" xr:uid="{00000000-0005-0000-0000-0000090D0000}"/>
    <cellStyle name="Currency 5 3 3 9 2" xfId="7039" xr:uid="{00000000-0005-0000-0000-00000A0D0000}"/>
    <cellStyle name="Currency 5 3 3 9 2 2" xfId="23974" xr:uid="{1C9B4D97-FD14-4C6D-872B-9A9025065B8A}"/>
    <cellStyle name="Currency 5 3 3 9 2 3" xfId="15533" xr:uid="{3DBEE79B-AA50-425B-824A-C6884AA458E1}"/>
    <cellStyle name="Currency 5 3 3 9 3" xfId="19756" xr:uid="{4EC7E3AD-E7A3-4420-8180-DA485C92F7C3}"/>
    <cellStyle name="Currency 5 3 3 9 4" xfId="11314" xr:uid="{DF7AC27C-DFF8-4EA2-BD11-EF966F310381}"/>
    <cellStyle name="Currency 5 3 4" xfId="216" xr:uid="{00000000-0005-0000-0000-00000B0D0000}"/>
    <cellStyle name="Currency 5 3 4 10" xfId="17375" xr:uid="{F6E710E7-E007-48BF-8814-A60BE91BA38F}"/>
    <cellStyle name="Currency 5 3 4 11" xfId="8900" xr:uid="{11D5494D-B9CE-4631-9217-EDB9C2AD14F3}"/>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152" xr:uid="{26121FC7-E267-4D0B-B6D8-085826693E9E}"/>
    <cellStyle name="Currency 5 3 4 2 2 2 3" xfId="15711" xr:uid="{F1C90486-1E4E-4AD8-976D-01BBA4E306C0}"/>
    <cellStyle name="Currency 5 3 4 2 2 3" xfId="19934" xr:uid="{5A9B88BC-A148-41E7-BCB0-2AEBF7D8CD34}"/>
    <cellStyle name="Currency 5 3 4 2 2 4" xfId="11492" xr:uid="{43034BF1-7BAF-40F9-9C7C-B6C377D4B848}"/>
    <cellStyle name="Currency 5 3 4 2 3" xfId="5072" xr:uid="{00000000-0005-0000-0000-00000F0D0000}"/>
    <cellStyle name="Currency 5 3 4 2 3 2" xfId="22007" xr:uid="{1414E061-E0D4-4B35-A85E-21F1B98E58B0}"/>
    <cellStyle name="Currency 5 3 4 2 3 3" xfId="13566" xr:uid="{6900E631-42FB-4F60-AA59-513DF3902030}"/>
    <cellStyle name="Currency 5 3 4 2 4" xfId="17789" xr:uid="{320B9A63-81AD-439F-9D62-C85A00540E5F}"/>
    <cellStyle name="Currency 5 3 4 2 5" xfId="9315" xr:uid="{7B2DC058-F598-405B-80F5-C1CD6A4C78D1}"/>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4565" xr:uid="{5A327047-C60F-4E04-8BCB-FDC0BB9FBF66}"/>
    <cellStyle name="Currency 5 3 4 3 2 2 3" xfId="16124" xr:uid="{540B1D06-F2F6-4A43-AE43-A36F8613CDCA}"/>
    <cellStyle name="Currency 5 3 4 3 2 3" xfId="20347" xr:uid="{FA52729A-BF8F-41A5-A657-F5813A5E48B5}"/>
    <cellStyle name="Currency 5 3 4 3 2 4" xfId="11905" xr:uid="{DC759CC4-F6B6-441F-B49C-A3EC66DCA9EF}"/>
    <cellStyle name="Currency 5 3 4 3 3" xfId="5485" xr:uid="{00000000-0005-0000-0000-0000130D0000}"/>
    <cellStyle name="Currency 5 3 4 3 3 2" xfId="22420" xr:uid="{4FA2DA1B-C45C-49D1-A278-AA077EE91C1B}"/>
    <cellStyle name="Currency 5 3 4 3 3 3" xfId="13979" xr:uid="{FA8338F9-BF96-4010-9A79-B58E0881A1AD}"/>
    <cellStyle name="Currency 5 3 4 3 4" xfId="18202" xr:uid="{C2BC7DA3-7BAB-49DF-93F5-FAD4B5911E21}"/>
    <cellStyle name="Currency 5 3 4 3 5" xfId="9728" xr:uid="{B996093E-D277-4BA8-A360-496A4E26CC2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4978" xr:uid="{CD86F073-2033-44A7-8579-73922DBC3A96}"/>
    <cellStyle name="Currency 5 3 4 4 2 2 3" xfId="16537" xr:uid="{55C0F522-167F-4F1F-93F3-5E1C536D2F5D}"/>
    <cellStyle name="Currency 5 3 4 4 2 3" xfId="20760" xr:uid="{83344898-ABD8-40C1-8C43-8CC1A3DEBFD6}"/>
    <cellStyle name="Currency 5 3 4 4 2 4" xfId="12318" xr:uid="{120D23A2-972D-4513-84AC-01AFCE074D43}"/>
    <cellStyle name="Currency 5 3 4 4 3" xfId="5898" xr:uid="{00000000-0005-0000-0000-0000170D0000}"/>
    <cellStyle name="Currency 5 3 4 4 3 2" xfId="22833" xr:uid="{62560F62-18D3-4310-907A-A57CCD4405FD}"/>
    <cellStyle name="Currency 5 3 4 4 3 3" xfId="14392" xr:uid="{8090AE83-A9F6-45AA-9702-FC17CC4A8006}"/>
    <cellStyle name="Currency 5 3 4 4 4" xfId="18615" xr:uid="{5C23E507-9C90-48AA-9237-B5A71962CC82}"/>
    <cellStyle name="Currency 5 3 4 4 5" xfId="10141" xr:uid="{45A62D99-FCC2-4CF2-9535-F9B4D8333333}"/>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5391" xr:uid="{1DE4681B-DCDB-4F68-A329-DC8D459A8014}"/>
    <cellStyle name="Currency 5 3 4 5 2 2 3" xfId="16950" xr:uid="{44E3BB3E-EC50-4472-B48D-E46C68AEA369}"/>
    <cellStyle name="Currency 5 3 4 5 2 3" xfId="21173" xr:uid="{F60015A7-5E5F-4EAB-AAD5-14A1F65A43CD}"/>
    <cellStyle name="Currency 5 3 4 5 2 4" xfId="12731" xr:uid="{2571BFD9-8F33-4C50-BE1C-C4D7E3492853}"/>
    <cellStyle name="Currency 5 3 4 5 3" xfId="6311" xr:uid="{00000000-0005-0000-0000-00001B0D0000}"/>
    <cellStyle name="Currency 5 3 4 5 3 2" xfId="23246" xr:uid="{7BF9EED4-409B-4358-855C-A13A9AB8CEE1}"/>
    <cellStyle name="Currency 5 3 4 5 3 3" xfId="14805" xr:uid="{DF0F18D5-0C91-405F-837C-5F6DC943ADC6}"/>
    <cellStyle name="Currency 5 3 4 5 4" xfId="19028" xr:uid="{3312B4FE-0664-433F-AD83-A6087BEBA8D5}"/>
    <cellStyle name="Currency 5 3 4 5 5" xfId="10554" xr:uid="{EE82EC78-4F64-479A-A010-009F7F19E6CE}"/>
    <cellStyle name="Currency 5 3 4 6" xfId="2440" xr:uid="{00000000-0005-0000-0000-00001C0D0000}"/>
    <cellStyle name="Currency 5 3 4 6 2" xfId="6724" xr:uid="{00000000-0005-0000-0000-00001D0D0000}"/>
    <cellStyle name="Currency 5 3 4 6 2 2" xfId="23659" xr:uid="{5BE2BA6E-1F0E-40A7-8F6B-09E45D2CD791}"/>
    <cellStyle name="Currency 5 3 4 6 2 3" xfId="15218" xr:uid="{29825AEF-18A5-4A31-B553-2240CC4711F7}"/>
    <cellStyle name="Currency 5 3 4 6 3" xfId="19441" xr:uid="{25E7BE16-C70A-4589-8DF3-C6AA27164E8E}"/>
    <cellStyle name="Currency 5 3 4 6 4" xfId="10989" xr:uid="{09A9DAF7-D5E6-4464-BD31-F64A1C9BFB3E}"/>
    <cellStyle name="Currency 5 3 4 7" xfId="2737" xr:uid="{00000000-0005-0000-0000-00001E0D0000}"/>
    <cellStyle name="Currency 5 3 4 8" xfId="2818" xr:uid="{00000000-0005-0000-0000-00001F0D0000}"/>
    <cellStyle name="Currency 5 3 4 8 2" xfId="7041" xr:uid="{00000000-0005-0000-0000-0000200D0000}"/>
    <cellStyle name="Currency 5 3 4 8 2 2" xfId="23976" xr:uid="{C08565D4-2E38-4B51-8DBD-A88951CAD7D5}"/>
    <cellStyle name="Currency 5 3 4 8 2 3" xfId="15535" xr:uid="{AD097799-0170-434D-ACC3-F0E2A9571446}"/>
    <cellStyle name="Currency 5 3 4 8 3" xfId="19758" xr:uid="{77181A54-0ED5-428D-8E95-2D370665A8D2}"/>
    <cellStyle name="Currency 5 3 4 8 4" xfId="11316" xr:uid="{2FEF873C-A3F7-4F17-8815-7DE68F44F828}"/>
    <cellStyle name="Currency 5 3 4 9" xfId="4658" xr:uid="{00000000-0005-0000-0000-0000210D0000}"/>
    <cellStyle name="Currency 5 3 4 9 2" xfId="21593" xr:uid="{1ADCD16F-709D-4E27-BA40-7E52BA007A11}"/>
    <cellStyle name="Currency 5 3 4 9 3" xfId="13152" xr:uid="{29232E9C-0C49-4A8C-B9D1-B185A91DFE58}"/>
    <cellStyle name="Currency 5 3 5" xfId="217" xr:uid="{00000000-0005-0000-0000-0000220D0000}"/>
    <cellStyle name="Currency 5 3 5 10" xfId="17376" xr:uid="{BCFF3784-89A9-4982-8246-2F6004F4FDEC}"/>
    <cellStyle name="Currency 5 3 5 11" xfId="8901" xr:uid="{892C4EEB-7C1C-4A69-8C99-1368B1AF3E2E}"/>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153" xr:uid="{5CA9088A-2FA4-4D9A-844A-219557BF7578}"/>
    <cellStyle name="Currency 5 3 5 2 2 2 3" xfId="15712" xr:uid="{8F309743-9ACB-47DE-A17B-D1DF0A1BCC0D}"/>
    <cellStyle name="Currency 5 3 5 2 2 3" xfId="19935" xr:uid="{1B9D3701-BE88-41D6-8D50-699684CA3201}"/>
    <cellStyle name="Currency 5 3 5 2 2 4" xfId="11493" xr:uid="{959B895A-B45A-4AC2-9650-E95916161672}"/>
    <cellStyle name="Currency 5 3 5 2 3" xfId="5073" xr:uid="{00000000-0005-0000-0000-0000260D0000}"/>
    <cellStyle name="Currency 5 3 5 2 3 2" xfId="22008" xr:uid="{7D880BD0-E485-40FF-8D5A-23EE566B604B}"/>
    <cellStyle name="Currency 5 3 5 2 3 3" xfId="13567" xr:uid="{E9CFCA8C-551E-4F12-BA95-2AEF9E6DDCC0}"/>
    <cellStyle name="Currency 5 3 5 2 4" xfId="17790" xr:uid="{445F4F87-C26D-419E-B156-D3355316D2E1}"/>
    <cellStyle name="Currency 5 3 5 2 5" xfId="9316" xr:uid="{CB61C524-DD21-4885-88D8-561E62EF0F0E}"/>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4566" xr:uid="{84B78D13-DFD9-4A83-8F14-694B30FA6511}"/>
    <cellStyle name="Currency 5 3 5 3 2 2 3" xfId="16125" xr:uid="{9D732DB1-3CFE-4C14-A587-09412AFF871C}"/>
    <cellStyle name="Currency 5 3 5 3 2 3" xfId="20348" xr:uid="{16D0AE62-CED1-4D7C-B33B-1705BA28E524}"/>
    <cellStyle name="Currency 5 3 5 3 2 4" xfId="11906" xr:uid="{661954BF-588D-4B00-AEA1-01D4BDB145FE}"/>
    <cellStyle name="Currency 5 3 5 3 3" xfId="5486" xr:uid="{00000000-0005-0000-0000-00002A0D0000}"/>
    <cellStyle name="Currency 5 3 5 3 3 2" xfId="22421" xr:uid="{C9672770-153E-4BBA-B6D3-89F598219A0F}"/>
    <cellStyle name="Currency 5 3 5 3 3 3" xfId="13980" xr:uid="{DB450989-AFAD-4BC8-87A5-0F5E92286D1A}"/>
    <cellStyle name="Currency 5 3 5 3 4" xfId="18203" xr:uid="{535B5882-073C-4C1F-9D67-8C530275C205}"/>
    <cellStyle name="Currency 5 3 5 3 5" xfId="9729" xr:uid="{D9F6E135-8A76-450C-A486-57522D16E5B0}"/>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4979" xr:uid="{132DD124-A0BC-43B9-90E0-526D36FDB728}"/>
    <cellStyle name="Currency 5 3 5 4 2 2 3" xfId="16538" xr:uid="{F041D361-D677-437E-AA82-DDA7B8DF2D89}"/>
    <cellStyle name="Currency 5 3 5 4 2 3" xfId="20761" xr:uid="{FCE6012C-29B5-4EBB-9FAB-D89E19D355AF}"/>
    <cellStyle name="Currency 5 3 5 4 2 4" xfId="12319" xr:uid="{B0F35EEA-A775-4636-9063-0953EE305442}"/>
    <cellStyle name="Currency 5 3 5 4 3" xfId="5899" xr:uid="{00000000-0005-0000-0000-00002E0D0000}"/>
    <cellStyle name="Currency 5 3 5 4 3 2" xfId="22834" xr:uid="{A914CCCD-CA1F-4DD2-92A5-4F299E3DC8AE}"/>
    <cellStyle name="Currency 5 3 5 4 3 3" xfId="14393" xr:uid="{8BB40E3C-5DEE-48F9-BE01-F71A6C8A207E}"/>
    <cellStyle name="Currency 5 3 5 4 4" xfId="18616" xr:uid="{784936E2-92A5-4D99-A916-B169D87D0AFA}"/>
    <cellStyle name="Currency 5 3 5 4 5" xfId="10142" xr:uid="{064C8807-05CE-4005-8013-01323E56813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5392" xr:uid="{38C538E1-3CFD-4768-8DC5-37F8C6CC7E7B}"/>
    <cellStyle name="Currency 5 3 5 5 2 2 3" xfId="16951" xr:uid="{6BF316C7-93AC-49F6-AE94-F9A8CC71EAF4}"/>
    <cellStyle name="Currency 5 3 5 5 2 3" xfId="21174" xr:uid="{925DAE80-F715-41E5-85E2-A0735184E62F}"/>
    <cellStyle name="Currency 5 3 5 5 2 4" xfId="12732" xr:uid="{6D0C567C-4E0F-400C-854B-6156D1364091}"/>
    <cellStyle name="Currency 5 3 5 5 3" xfId="6312" xr:uid="{00000000-0005-0000-0000-0000320D0000}"/>
    <cellStyle name="Currency 5 3 5 5 3 2" xfId="23247" xr:uid="{89D54B31-5524-4433-8FDD-4C98E7BE9F1C}"/>
    <cellStyle name="Currency 5 3 5 5 3 3" xfId="14806" xr:uid="{E7943204-3724-429A-B31A-DAE1EF96816B}"/>
    <cellStyle name="Currency 5 3 5 5 4" xfId="19029" xr:uid="{A21E37E5-FE5F-4B48-A024-1BBA3514E7BA}"/>
    <cellStyle name="Currency 5 3 5 5 5" xfId="10555" xr:uid="{8D8A0502-CE2E-4AB6-ADA2-5C3F3094897D}"/>
    <cellStyle name="Currency 5 3 5 6" xfId="2441" xr:uid="{00000000-0005-0000-0000-0000330D0000}"/>
    <cellStyle name="Currency 5 3 5 6 2" xfId="6725" xr:uid="{00000000-0005-0000-0000-0000340D0000}"/>
    <cellStyle name="Currency 5 3 5 6 2 2" xfId="23660" xr:uid="{9F73041D-1D6D-48EC-8BA4-1B8BA57F48DA}"/>
    <cellStyle name="Currency 5 3 5 6 2 3" xfId="15219" xr:uid="{D7A7C581-D053-40C7-AA97-8BBCDC1EE6A0}"/>
    <cellStyle name="Currency 5 3 5 6 3" xfId="19442" xr:uid="{BCBA6A4A-275A-4E09-9CCE-DAF3F938C5F4}"/>
    <cellStyle name="Currency 5 3 5 6 4" xfId="10990" xr:uid="{EA0B3681-BD0C-45D1-BE01-20BA8C92FE0D}"/>
    <cellStyle name="Currency 5 3 5 7" xfId="2738" xr:uid="{00000000-0005-0000-0000-0000350D0000}"/>
    <cellStyle name="Currency 5 3 5 8" xfId="2819" xr:uid="{00000000-0005-0000-0000-0000360D0000}"/>
    <cellStyle name="Currency 5 3 5 8 2" xfId="7042" xr:uid="{00000000-0005-0000-0000-0000370D0000}"/>
    <cellStyle name="Currency 5 3 5 8 2 2" xfId="23977" xr:uid="{89683B50-2EF3-4105-9AFC-3109A0A7BA11}"/>
    <cellStyle name="Currency 5 3 5 8 2 3" xfId="15536" xr:uid="{F4B47EBE-98A2-481A-9BA0-38F90E8E24B9}"/>
    <cellStyle name="Currency 5 3 5 8 3" xfId="19759" xr:uid="{24ABCABB-29AB-4B2F-9151-F8EED6C793F5}"/>
    <cellStyle name="Currency 5 3 5 8 4" xfId="11317" xr:uid="{71FC89C0-6EB3-44C4-87F1-D66F0808D42F}"/>
    <cellStyle name="Currency 5 3 5 9" xfId="4659" xr:uid="{00000000-0005-0000-0000-0000380D0000}"/>
    <cellStyle name="Currency 5 3 5 9 2" xfId="21594" xr:uid="{587E6FD7-EDB9-4637-B029-42ACE9533D55}"/>
    <cellStyle name="Currency 5 3 5 9 3" xfId="13153" xr:uid="{A449E414-505E-4142-A7E2-403CF4B4E0CA}"/>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1595" xr:uid="{705ED4D3-A38F-4F5D-BE02-37E839DEE9FC}"/>
    <cellStyle name="Currency 5 5 10 3" xfId="13154" xr:uid="{BB982A13-2A88-41D2-AC95-FE3A0BAC58D8}"/>
    <cellStyle name="Currency 5 5 11" xfId="17377" xr:uid="{C088B487-5C70-415B-BF01-550F42E6867F}"/>
    <cellStyle name="Currency 5 5 12" xfId="8902" xr:uid="{38A89614-E7EB-42DB-B177-C1DE2E888A89}"/>
    <cellStyle name="Currency 5 5 2" xfId="220" xr:uid="{00000000-0005-0000-0000-00003D0D0000}"/>
    <cellStyle name="Currency 5 5 2 10" xfId="17378" xr:uid="{E36E1F31-F2EF-4CCC-B119-EDF7DF1C45DE}"/>
    <cellStyle name="Currency 5 5 2 11" xfId="8903" xr:uid="{936FE333-5926-4F7E-81FA-2F849161C5C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155" xr:uid="{B891C919-9B52-4406-98AE-AAD7D7880E58}"/>
    <cellStyle name="Currency 5 5 2 2 2 2 3" xfId="15714" xr:uid="{1DAB74D2-3C91-4235-89C9-4AEFC633857E}"/>
    <cellStyle name="Currency 5 5 2 2 2 3" xfId="19937" xr:uid="{F8AC81D2-1CD8-4894-A9D9-AF462AA4AC49}"/>
    <cellStyle name="Currency 5 5 2 2 2 4" xfId="11495" xr:uid="{684E35C1-908D-40E2-8BA1-0C29986DC5B6}"/>
    <cellStyle name="Currency 5 5 2 2 3" xfId="5075" xr:uid="{00000000-0005-0000-0000-0000410D0000}"/>
    <cellStyle name="Currency 5 5 2 2 3 2" xfId="22010" xr:uid="{F9FE65E6-A1F2-4A9B-94CC-C446EA655AB7}"/>
    <cellStyle name="Currency 5 5 2 2 3 3" xfId="13569" xr:uid="{03D44EAA-6576-4C91-A2A3-EFDFE4B7181D}"/>
    <cellStyle name="Currency 5 5 2 2 4" xfId="17792" xr:uid="{1F69487C-C9A5-4EB1-B1AF-5E087B9B455C}"/>
    <cellStyle name="Currency 5 5 2 2 5" xfId="9318" xr:uid="{A406A08A-1035-4DB4-8283-774578DF6B12}"/>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4568" xr:uid="{67B9F0EF-9065-4CFB-B14B-7DA687B20071}"/>
    <cellStyle name="Currency 5 5 2 3 2 2 3" xfId="16127" xr:uid="{60283FD4-5182-4C93-BFA2-E3D8C2E79630}"/>
    <cellStyle name="Currency 5 5 2 3 2 3" xfId="20350" xr:uid="{B0BAB5A1-A0CE-443F-9EFD-82D89C72D59A}"/>
    <cellStyle name="Currency 5 5 2 3 2 4" xfId="11908" xr:uid="{131615B4-CDA7-451A-B479-D30D7260DA23}"/>
    <cellStyle name="Currency 5 5 2 3 3" xfId="5488" xr:uid="{00000000-0005-0000-0000-0000450D0000}"/>
    <cellStyle name="Currency 5 5 2 3 3 2" xfId="22423" xr:uid="{1FBBEC34-33F7-421D-93E7-F88DD684A505}"/>
    <cellStyle name="Currency 5 5 2 3 3 3" xfId="13982" xr:uid="{F7BD1DF9-A095-41AE-ABE9-9878BB9C062F}"/>
    <cellStyle name="Currency 5 5 2 3 4" xfId="18205" xr:uid="{EEA88538-872F-41E9-8AF3-3F22C45F0313}"/>
    <cellStyle name="Currency 5 5 2 3 5" xfId="9731" xr:uid="{712CEE74-0C64-4A65-97AC-865123338690}"/>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4981" xr:uid="{6919D08B-B410-4AC3-8940-86E3586E95C8}"/>
    <cellStyle name="Currency 5 5 2 4 2 2 3" xfId="16540" xr:uid="{47CC321E-8DE0-41AC-A629-27D422EB033E}"/>
    <cellStyle name="Currency 5 5 2 4 2 3" xfId="20763" xr:uid="{90702E9C-2D56-4E88-A202-104C33794CBF}"/>
    <cellStyle name="Currency 5 5 2 4 2 4" xfId="12321" xr:uid="{401ED883-2AF2-4FB0-9207-2605715171F2}"/>
    <cellStyle name="Currency 5 5 2 4 3" xfId="5901" xr:uid="{00000000-0005-0000-0000-0000490D0000}"/>
    <cellStyle name="Currency 5 5 2 4 3 2" xfId="22836" xr:uid="{F524504F-43BA-4FEE-A634-3A256C650DAC}"/>
    <cellStyle name="Currency 5 5 2 4 3 3" xfId="14395" xr:uid="{7F12F31E-2D0E-4308-90EA-F4827165E43F}"/>
    <cellStyle name="Currency 5 5 2 4 4" xfId="18618" xr:uid="{CA562632-E846-41B1-A339-B52FEB102BA8}"/>
    <cellStyle name="Currency 5 5 2 4 5" xfId="10144" xr:uid="{DC92EB41-DE6A-4221-9E20-56C5E81FE3E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5394" xr:uid="{9688028E-B0D8-4A53-A64E-56732E5575DF}"/>
    <cellStyle name="Currency 5 5 2 5 2 2 3" xfId="16953" xr:uid="{325BC57E-DCCF-4124-B417-72AD188599A9}"/>
    <cellStyle name="Currency 5 5 2 5 2 3" xfId="21176" xr:uid="{89B8797D-DF35-48A6-B073-680A54CDF1E8}"/>
    <cellStyle name="Currency 5 5 2 5 2 4" xfId="12734" xr:uid="{5A67C6E6-0BBC-4CD1-A1F7-084327F39346}"/>
    <cellStyle name="Currency 5 5 2 5 3" xfId="6314" xr:uid="{00000000-0005-0000-0000-00004D0D0000}"/>
    <cellStyle name="Currency 5 5 2 5 3 2" xfId="23249" xr:uid="{B4137338-546B-46E7-A9EF-4F24D00CA410}"/>
    <cellStyle name="Currency 5 5 2 5 3 3" xfId="14808" xr:uid="{8A8258FD-19FD-413D-935F-136F9A1FC5BC}"/>
    <cellStyle name="Currency 5 5 2 5 4" xfId="19031" xr:uid="{9A6D3818-8308-4D36-B2E0-81F1532F9A80}"/>
    <cellStyle name="Currency 5 5 2 5 5" xfId="10557" xr:uid="{3FE022EF-43FE-4FFA-A561-CA135C22CE94}"/>
    <cellStyle name="Currency 5 5 2 6" xfId="2443" xr:uid="{00000000-0005-0000-0000-00004E0D0000}"/>
    <cellStyle name="Currency 5 5 2 6 2" xfId="6727" xr:uid="{00000000-0005-0000-0000-00004F0D0000}"/>
    <cellStyle name="Currency 5 5 2 6 2 2" xfId="23662" xr:uid="{205CD325-E5AF-418F-B59E-2AF98851987E}"/>
    <cellStyle name="Currency 5 5 2 6 2 3" xfId="15221" xr:uid="{8E118293-AEE4-4467-A804-AB4334079C86}"/>
    <cellStyle name="Currency 5 5 2 6 3" xfId="19444" xr:uid="{6D34CB61-1215-40DA-9D3A-677E5933E99D}"/>
    <cellStyle name="Currency 5 5 2 6 4" xfId="10992" xr:uid="{4F863066-E079-463C-86A2-C3B2BDBA7BF3}"/>
    <cellStyle name="Currency 5 5 2 7" xfId="2740" xr:uid="{00000000-0005-0000-0000-0000500D0000}"/>
    <cellStyle name="Currency 5 5 2 8" xfId="2821" xr:uid="{00000000-0005-0000-0000-0000510D0000}"/>
    <cellStyle name="Currency 5 5 2 8 2" xfId="7044" xr:uid="{00000000-0005-0000-0000-0000520D0000}"/>
    <cellStyle name="Currency 5 5 2 8 2 2" xfId="23979" xr:uid="{7C9DCF43-0722-46C5-BEED-711FF823EB7F}"/>
    <cellStyle name="Currency 5 5 2 8 2 3" xfId="15538" xr:uid="{00E0828A-D717-4C95-AD6E-FE809C3C9AC9}"/>
    <cellStyle name="Currency 5 5 2 8 3" xfId="19761" xr:uid="{37A24281-1926-425C-BF0F-E2EED93EC5A8}"/>
    <cellStyle name="Currency 5 5 2 8 4" xfId="11319" xr:uid="{98F1CE4C-FEDF-4B75-93DD-AB1459E8511D}"/>
    <cellStyle name="Currency 5 5 2 9" xfId="4661" xr:uid="{00000000-0005-0000-0000-0000530D0000}"/>
    <cellStyle name="Currency 5 5 2 9 2" xfId="21596" xr:uid="{2D6AECD6-6E08-406E-B1C8-C818D7494E6E}"/>
    <cellStyle name="Currency 5 5 2 9 3" xfId="13155" xr:uid="{98A6DD4B-060D-4EAF-9E99-2A800612ED5E}"/>
    <cellStyle name="Currency 5 5 3" xfId="745" xr:uid="{00000000-0005-0000-0000-0000540D0000}"/>
    <cellStyle name="Currency 5 5 3 2" xfId="2997" xr:uid="{00000000-0005-0000-0000-0000550D0000}"/>
    <cellStyle name="Currency 5 5 3 2 2" xfId="7219" xr:uid="{00000000-0005-0000-0000-0000560D0000}"/>
    <cellStyle name="Currency 5 5 3 2 2 2" xfId="24154" xr:uid="{1C56BFEB-5ABD-4463-A0DD-60669F435814}"/>
    <cellStyle name="Currency 5 5 3 2 2 3" xfId="15713" xr:uid="{6CB243F2-78DD-4946-80CA-1C4AFBEED544}"/>
    <cellStyle name="Currency 5 5 3 2 3" xfId="19936" xr:uid="{D906B5DF-BA74-458F-91C2-78FEA18EAFA8}"/>
    <cellStyle name="Currency 5 5 3 2 4" xfId="11494" xr:uid="{AE34F86C-735D-4725-A1B6-508A1C66848F}"/>
    <cellStyle name="Currency 5 5 3 3" xfId="5074" xr:uid="{00000000-0005-0000-0000-0000570D0000}"/>
    <cellStyle name="Currency 5 5 3 3 2" xfId="22009" xr:uid="{E5A2666D-E722-42F6-B175-950553E50505}"/>
    <cellStyle name="Currency 5 5 3 3 3" xfId="13568" xr:uid="{6CC92458-D7FB-4348-815B-35EEBBCF5340}"/>
    <cellStyle name="Currency 5 5 3 4" xfId="17791" xr:uid="{A65F8CF5-AA1F-4AE4-B9DE-C47634B3FF57}"/>
    <cellStyle name="Currency 5 5 3 5" xfId="9317" xr:uid="{670FAC7F-23A3-41ED-A80B-A0B88BBA5076}"/>
    <cellStyle name="Currency 5 5 4" xfId="1179" xr:uid="{00000000-0005-0000-0000-0000580D0000}"/>
    <cellStyle name="Currency 5 5 4 2" xfId="3410" xr:uid="{00000000-0005-0000-0000-0000590D0000}"/>
    <cellStyle name="Currency 5 5 4 2 2" xfId="7632" xr:uid="{00000000-0005-0000-0000-00005A0D0000}"/>
    <cellStyle name="Currency 5 5 4 2 2 2" xfId="24567" xr:uid="{F33A68D4-A079-4FB1-B704-CE91E39FDE82}"/>
    <cellStyle name="Currency 5 5 4 2 2 3" xfId="16126" xr:uid="{E83CFFFD-CDE4-4684-A7CA-5B488FE6E64F}"/>
    <cellStyle name="Currency 5 5 4 2 3" xfId="20349" xr:uid="{879BA1BA-90DC-433D-BA6C-C02C87251023}"/>
    <cellStyle name="Currency 5 5 4 2 4" xfId="11907" xr:uid="{16810D93-8E03-4A6F-873F-3643D09FCB82}"/>
    <cellStyle name="Currency 5 5 4 3" xfId="5487" xr:uid="{00000000-0005-0000-0000-00005B0D0000}"/>
    <cellStyle name="Currency 5 5 4 3 2" xfId="22422" xr:uid="{6181A3BC-1167-4720-9FDB-02C9EFB80E64}"/>
    <cellStyle name="Currency 5 5 4 3 3" xfId="13981" xr:uid="{6ACC4E5C-0E1E-4E7C-B7DD-4E3F2041E92E}"/>
    <cellStyle name="Currency 5 5 4 4" xfId="18204" xr:uid="{77C9F0EC-7109-4F3F-9868-7C98533C8955}"/>
    <cellStyle name="Currency 5 5 4 5" xfId="9730" xr:uid="{C8D7D65B-1706-40FD-BA93-C1ACCAE57056}"/>
    <cellStyle name="Currency 5 5 5" xfId="1593" xr:uid="{00000000-0005-0000-0000-00005C0D0000}"/>
    <cellStyle name="Currency 5 5 5 2" xfId="3823" xr:uid="{00000000-0005-0000-0000-00005D0D0000}"/>
    <cellStyle name="Currency 5 5 5 2 2" xfId="8045" xr:uid="{00000000-0005-0000-0000-00005E0D0000}"/>
    <cellStyle name="Currency 5 5 5 2 2 2" xfId="24980" xr:uid="{33245FD4-A401-48A3-B142-AA25D26BC960}"/>
    <cellStyle name="Currency 5 5 5 2 2 3" xfId="16539" xr:uid="{DBAD8788-CAEE-492D-AE9D-21E0223D782B}"/>
    <cellStyle name="Currency 5 5 5 2 3" xfId="20762" xr:uid="{E8A819B3-286F-40D4-8BA8-DF99AB39F13D}"/>
    <cellStyle name="Currency 5 5 5 2 4" xfId="12320" xr:uid="{FA7B3CA9-368F-4B0C-9E81-EAA371BB157D}"/>
    <cellStyle name="Currency 5 5 5 3" xfId="5900" xr:uid="{00000000-0005-0000-0000-00005F0D0000}"/>
    <cellStyle name="Currency 5 5 5 3 2" xfId="22835" xr:uid="{8ECB8282-B83D-43E1-B0E7-D9CF870CFA25}"/>
    <cellStyle name="Currency 5 5 5 3 3" xfId="14394" xr:uid="{30F8AD9C-4774-49F3-996F-F4F1C399BC30}"/>
    <cellStyle name="Currency 5 5 5 4" xfId="18617" xr:uid="{8C189D9E-9EC5-47DB-A859-1582186C86A1}"/>
    <cellStyle name="Currency 5 5 5 5" xfId="10143" xr:uid="{5709EAB4-108E-4D62-889A-2D65BD8AD448}"/>
    <cellStyle name="Currency 5 5 6" xfId="2007" xr:uid="{00000000-0005-0000-0000-0000600D0000}"/>
    <cellStyle name="Currency 5 5 6 2" xfId="4236" xr:uid="{00000000-0005-0000-0000-0000610D0000}"/>
    <cellStyle name="Currency 5 5 6 2 2" xfId="8458" xr:uid="{00000000-0005-0000-0000-0000620D0000}"/>
    <cellStyle name="Currency 5 5 6 2 2 2" xfId="25393" xr:uid="{0701B18F-7B62-4AE8-A06D-1039AE09E23C}"/>
    <cellStyle name="Currency 5 5 6 2 2 3" xfId="16952" xr:uid="{6ACDFC55-592D-4B11-B756-7CD9EB176E40}"/>
    <cellStyle name="Currency 5 5 6 2 3" xfId="21175" xr:uid="{8BAE106D-4CC4-47CF-B20E-C039248A4435}"/>
    <cellStyle name="Currency 5 5 6 2 4" xfId="12733" xr:uid="{D5C0DEF8-358E-4152-A0E8-CD5FFBA92AC5}"/>
    <cellStyle name="Currency 5 5 6 3" xfId="6313" xr:uid="{00000000-0005-0000-0000-0000630D0000}"/>
    <cellStyle name="Currency 5 5 6 3 2" xfId="23248" xr:uid="{2FD79600-09BE-4DAB-BF4D-AAA7479FA92B}"/>
    <cellStyle name="Currency 5 5 6 3 3" xfId="14807" xr:uid="{66E91983-5B30-4F6D-A295-488AE96EA941}"/>
    <cellStyle name="Currency 5 5 6 4" xfId="19030" xr:uid="{C629329A-A31D-444C-A25E-17FCBBA09904}"/>
    <cellStyle name="Currency 5 5 6 5" xfId="10556" xr:uid="{3A70243A-E987-4E8C-9890-23E0ABCD5D92}"/>
    <cellStyle name="Currency 5 5 7" xfId="2442" xr:uid="{00000000-0005-0000-0000-0000640D0000}"/>
    <cellStyle name="Currency 5 5 7 2" xfId="6726" xr:uid="{00000000-0005-0000-0000-0000650D0000}"/>
    <cellStyle name="Currency 5 5 7 2 2" xfId="23661" xr:uid="{80D7823F-1B16-4B78-9E09-5C3431894F72}"/>
    <cellStyle name="Currency 5 5 7 2 3" xfId="15220" xr:uid="{29DC48DD-1F71-4368-A289-6800EEECB79B}"/>
    <cellStyle name="Currency 5 5 7 3" xfId="19443" xr:uid="{27A7C7C2-07C5-4BCC-8B7E-B9BE517C11F5}"/>
    <cellStyle name="Currency 5 5 7 4" xfId="10991" xr:uid="{343253E1-3069-41F2-8567-232983F209B1}"/>
    <cellStyle name="Currency 5 5 8" xfId="2739" xr:uid="{00000000-0005-0000-0000-0000660D0000}"/>
    <cellStyle name="Currency 5 5 9" xfId="2820" xr:uid="{00000000-0005-0000-0000-0000670D0000}"/>
    <cellStyle name="Currency 5 5 9 2" xfId="7043" xr:uid="{00000000-0005-0000-0000-0000680D0000}"/>
    <cellStyle name="Currency 5 5 9 2 2" xfId="23978" xr:uid="{D8B06D73-C804-4CC5-A7CB-AF60728C9CFD}"/>
    <cellStyle name="Currency 5 5 9 2 3" xfId="15537" xr:uid="{F79DDA17-D430-4453-B1E7-CF3AA8B0F6BE}"/>
    <cellStyle name="Currency 5 5 9 3" xfId="19760" xr:uid="{4B95FEB0-9579-450C-852A-EB7320178B55}"/>
    <cellStyle name="Currency 5 5 9 4" xfId="11318" xr:uid="{FB45C81F-EF64-40E1-B1A2-2EF40A1CF042}"/>
    <cellStyle name="Currency 5 6" xfId="221" xr:uid="{00000000-0005-0000-0000-0000690D0000}"/>
    <cellStyle name="Currency 5 6 10" xfId="17379" xr:uid="{485B7214-E03B-40DA-A6D7-446FD0E18D50}"/>
    <cellStyle name="Currency 5 6 11" xfId="8904" xr:uid="{0584DF8A-B379-4398-B141-2E63329D4E85}"/>
    <cellStyle name="Currency 5 6 2" xfId="747" xr:uid="{00000000-0005-0000-0000-00006A0D0000}"/>
    <cellStyle name="Currency 5 6 2 2" xfId="2999" xr:uid="{00000000-0005-0000-0000-00006B0D0000}"/>
    <cellStyle name="Currency 5 6 2 2 2" xfId="7221" xr:uid="{00000000-0005-0000-0000-00006C0D0000}"/>
    <cellStyle name="Currency 5 6 2 2 2 2" xfId="24156" xr:uid="{82EB5D3E-B2E6-4462-B34F-6B630CEABE8E}"/>
    <cellStyle name="Currency 5 6 2 2 2 3" xfId="15715" xr:uid="{5F60DFEC-15C8-42F2-9F9B-FC9A75F980E7}"/>
    <cellStyle name="Currency 5 6 2 2 3" xfId="19938" xr:uid="{8940AE46-659E-4389-B744-71EF56826F18}"/>
    <cellStyle name="Currency 5 6 2 2 4" xfId="11496" xr:uid="{BE3FC0C5-39D9-4AC3-A970-9B2397A4E2A1}"/>
    <cellStyle name="Currency 5 6 2 3" xfId="5076" xr:uid="{00000000-0005-0000-0000-00006D0D0000}"/>
    <cellStyle name="Currency 5 6 2 3 2" xfId="22011" xr:uid="{BDC6AE61-23E2-40CD-AC2E-F87DD7F3B842}"/>
    <cellStyle name="Currency 5 6 2 3 3" xfId="13570" xr:uid="{6517DCA6-F481-4E5D-9DFB-847B77279EDA}"/>
    <cellStyle name="Currency 5 6 2 4" xfId="17793" xr:uid="{D796A125-6ECA-49A5-822B-8AB0F04932B2}"/>
    <cellStyle name="Currency 5 6 2 5" xfId="9319" xr:uid="{A058E3EE-AD1E-41C3-852F-26B023197A23}"/>
    <cellStyle name="Currency 5 6 3" xfId="1181" xr:uid="{00000000-0005-0000-0000-00006E0D0000}"/>
    <cellStyle name="Currency 5 6 3 2" xfId="3412" xr:uid="{00000000-0005-0000-0000-00006F0D0000}"/>
    <cellStyle name="Currency 5 6 3 2 2" xfId="7634" xr:uid="{00000000-0005-0000-0000-0000700D0000}"/>
    <cellStyle name="Currency 5 6 3 2 2 2" xfId="24569" xr:uid="{31F59F36-E34F-4031-93F3-835F673F91D7}"/>
    <cellStyle name="Currency 5 6 3 2 2 3" xfId="16128" xr:uid="{10245FB1-A988-4A70-8B91-71E08815C063}"/>
    <cellStyle name="Currency 5 6 3 2 3" xfId="20351" xr:uid="{B5217C53-7697-41D6-BCD9-53244B289D6A}"/>
    <cellStyle name="Currency 5 6 3 2 4" xfId="11909" xr:uid="{DCF78014-8883-447E-9E02-60C10026BDF4}"/>
    <cellStyle name="Currency 5 6 3 3" xfId="5489" xr:uid="{00000000-0005-0000-0000-0000710D0000}"/>
    <cellStyle name="Currency 5 6 3 3 2" xfId="22424" xr:uid="{4E223711-E033-4996-9FEC-16302D4B5B46}"/>
    <cellStyle name="Currency 5 6 3 3 3" xfId="13983" xr:uid="{B3646057-99D3-4211-8E9C-286F07B4AD9C}"/>
    <cellStyle name="Currency 5 6 3 4" xfId="18206" xr:uid="{38D8F6E9-01F8-41C4-94C2-6681F451F9B5}"/>
    <cellStyle name="Currency 5 6 3 5" xfId="9732" xr:uid="{2153366D-F7C1-4164-8A54-3C6C7AC6099C}"/>
    <cellStyle name="Currency 5 6 4" xfId="1595" xr:uid="{00000000-0005-0000-0000-0000720D0000}"/>
    <cellStyle name="Currency 5 6 4 2" xfId="3825" xr:uid="{00000000-0005-0000-0000-0000730D0000}"/>
    <cellStyle name="Currency 5 6 4 2 2" xfId="8047" xr:uid="{00000000-0005-0000-0000-0000740D0000}"/>
    <cellStyle name="Currency 5 6 4 2 2 2" xfId="24982" xr:uid="{306459D4-B819-4AAD-9834-15E8AB7A007C}"/>
    <cellStyle name="Currency 5 6 4 2 2 3" xfId="16541" xr:uid="{7679F6E8-BB82-486D-AD88-E67FECE7B049}"/>
    <cellStyle name="Currency 5 6 4 2 3" xfId="20764" xr:uid="{B2445B78-55C6-41DC-A06E-693CFA2A7048}"/>
    <cellStyle name="Currency 5 6 4 2 4" xfId="12322" xr:uid="{B9E9F393-F4F4-4B09-8886-E7B64414915F}"/>
    <cellStyle name="Currency 5 6 4 3" xfId="5902" xr:uid="{00000000-0005-0000-0000-0000750D0000}"/>
    <cellStyle name="Currency 5 6 4 3 2" xfId="22837" xr:uid="{6400CC38-5E3E-4FCF-AA7B-CB4C083B1D66}"/>
    <cellStyle name="Currency 5 6 4 3 3" xfId="14396" xr:uid="{70645468-E47B-40A7-9C0F-A4B24EFCCC0D}"/>
    <cellStyle name="Currency 5 6 4 4" xfId="18619" xr:uid="{B22A105A-18CA-4145-8B91-7C7BFCCC16B5}"/>
    <cellStyle name="Currency 5 6 4 5" xfId="10145" xr:uid="{75B16492-4217-4E4B-B6BD-2813FD57AFD1}"/>
    <cellStyle name="Currency 5 6 5" xfId="2009" xr:uid="{00000000-0005-0000-0000-0000760D0000}"/>
    <cellStyle name="Currency 5 6 5 2" xfId="4238" xr:uid="{00000000-0005-0000-0000-0000770D0000}"/>
    <cellStyle name="Currency 5 6 5 2 2" xfId="8460" xr:uid="{00000000-0005-0000-0000-0000780D0000}"/>
    <cellStyle name="Currency 5 6 5 2 2 2" xfId="25395" xr:uid="{12BA6900-7DBC-4579-AEDC-593C453D00EB}"/>
    <cellStyle name="Currency 5 6 5 2 2 3" xfId="16954" xr:uid="{6DE61FDE-45BE-4BD1-828C-0046C42D3994}"/>
    <cellStyle name="Currency 5 6 5 2 3" xfId="21177" xr:uid="{D3CAECDD-6605-48F2-A967-920CBCF5D0B1}"/>
    <cellStyle name="Currency 5 6 5 2 4" xfId="12735" xr:uid="{A770D1E5-CDCD-4A13-BF1D-FCB62EB7DA99}"/>
    <cellStyle name="Currency 5 6 5 3" xfId="6315" xr:uid="{00000000-0005-0000-0000-0000790D0000}"/>
    <cellStyle name="Currency 5 6 5 3 2" xfId="23250" xr:uid="{FAF9833D-CC1F-490F-BB91-729370241CB0}"/>
    <cellStyle name="Currency 5 6 5 3 3" xfId="14809" xr:uid="{AB0974A5-01C4-48C5-BDAE-3119EA6F7D5F}"/>
    <cellStyle name="Currency 5 6 5 4" xfId="19032" xr:uid="{6718ACEA-1F81-45B2-B479-2449F9FD6FFB}"/>
    <cellStyle name="Currency 5 6 5 5" xfId="10558" xr:uid="{2ADE3B58-9E54-4309-ABF5-E6EF3D5D1C75}"/>
    <cellStyle name="Currency 5 6 6" xfId="2444" xr:uid="{00000000-0005-0000-0000-00007A0D0000}"/>
    <cellStyle name="Currency 5 6 6 2" xfId="6728" xr:uid="{00000000-0005-0000-0000-00007B0D0000}"/>
    <cellStyle name="Currency 5 6 6 2 2" xfId="23663" xr:uid="{BC39AEA3-2B31-43F9-A68A-2A768F18E0F5}"/>
    <cellStyle name="Currency 5 6 6 2 3" xfId="15222" xr:uid="{1398870B-2404-4EC3-8CB8-7D8F7E3A359E}"/>
    <cellStyle name="Currency 5 6 6 3" xfId="19445" xr:uid="{14D3EC9D-E12B-4774-BC09-CC4F7589C645}"/>
    <cellStyle name="Currency 5 6 6 4" xfId="10993" xr:uid="{C4FD3C8D-7AEF-49A8-ACDD-278A23CA3C1F}"/>
    <cellStyle name="Currency 5 6 7" xfId="2741" xr:uid="{00000000-0005-0000-0000-00007C0D0000}"/>
    <cellStyle name="Currency 5 6 8" xfId="2822" xr:uid="{00000000-0005-0000-0000-00007D0D0000}"/>
    <cellStyle name="Currency 5 6 8 2" xfId="7045" xr:uid="{00000000-0005-0000-0000-00007E0D0000}"/>
    <cellStyle name="Currency 5 6 8 2 2" xfId="23980" xr:uid="{24FB9A23-C7AF-42E6-8B79-AADCC4B67973}"/>
    <cellStyle name="Currency 5 6 8 2 3" xfId="15539" xr:uid="{57C2AA7C-D621-4135-81C0-C8FADBABA99B}"/>
    <cellStyle name="Currency 5 6 8 3" xfId="19762" xr:uid="{4EB82F68-F6A7-4FD1-BA22-28B64806A6CF}"/>
    <cellStyle name="Currency 5 6 8 4" xfId="11320" xr:uid="{4E3D9277-FE77-4881-93CC-42160752DBBB}"/>
    <cellStyle name="Currency 5 6 9" xfId="4662" xr:uid="{00000000-0005-0000-0000-00007F0D0000}"/>
    <cellStyle name="Currency 5 6 9 2" xfId="21597" xr:uid="{C1C00165-0D12-48F3-8DE8-01DB5AE1AA3B}"/>
    <cellStyle name="Currency 5 6 9 3" xfId="13156" xr:uid="{BEA7B779-9105-412C-836F-A87F788F8463}"/>
    <cellStyle name="Currency 5 7" xfId="222" xr:uid="{00000000-0005-0000-0000-0000800D0000}"/>
    <cellStyle name="Currency 5 7 10" xfId="17380" xr:uid="{C46E0367-C1BF-44AE-9F49-C8096EE9B72C}"/>
    <cellStyle name="Currency 5 7 11" xfId="8905" xr:uid="{FCAAB6E4-1439-4C3F-8732-B29E703BAE1F}"/>
    <cellStyle name="Currency 5 7 2" xfId="748" xr:uid="{00000000-0005-0000-0000-0000810D0000}"/>
    <cellStyle name="Currency 5 7 2 2" xfId="3000" xr:uid="{00000000-0005-0000-0000-0000820D0000}"/>
    <cellStyle name="Currency 5 7 2 2 2" xfId="7222" xr:uid="{00000000-0005-0000-0000-0000830D0000}"/>
    <cellStyle name="Currency 5 7 2 2 2 2" xfId="24157" xr:uid="{547FFA67-B3A1-47E9-9C0B-2E06E8E8850E}"/>
    <cellStyle name="Currency 5 7 2 2 2 3" xfId="15716" xr:uid="{CD005EBA-306C-4F47-BA04-7A2DF25E4F11}"/>
    <cellStyle name="Currency 5 7 2 2 3" xfId="19939" xr:uid="{E3FBC9F8-C668-4E9E-B034-9112138D6F65}"/>
    <cellStyle name="Currency 5 7 2 2 4" xfId="11497" xr:uid="{E4F8687B-DE5A-4CE0-9C23-515E1EF69FD4}"/>
    <cellStyle name="Currency 5 7 2 3" xfId="5077" xr:uid="{00000000-0005-0000-0000-0000840D0000}"/>
    <cellStyle name="Currency 5 7 2 3 2" xfId="22012" xr:uid="{2EAEB8E9-8F9B-4AF8-ACAB-FFB4EE84DF38}"/>
    <cellStyle name="Currency 5 7 2 3 3" xfId="13571" xr:uid="{8E8F3970-4371-4A36-967A-8240DAE75BAA}"/>
    <cellStyle name="Currency 5 7 2 4" xfId="17794" xr:uid="{4024B831-9E7F-432E-A5B7-1FF64C60F6E5}"/>
    <cellStyle name="Currency 5 7 2 5" xfId="9320" xr:uid="{80F7507A-FB83-40ED-983A-42976569F901}"/>
    <cellStyle name="Currency 5 7 3" xfId="1182" xr:uid="{00000000-0005-0000-0000-0000850D0000}"/>
    <cellStyle name="Currency 5 7 3 2" xfId="3413" xr:uid="{00000000-0005-0000-0000-0000860D0000}"/>
    <cellStyle name="Currency 5 7 3 2 2" xfId="7635" xr:uid="{00000000-0005-0000-0000-0000870D0000}"/>
    <cellStyle name="Currency 5 7 3 2 2 2" xfId="24570" xr:uid="{5CCFFD38-BB5A-42C3-853B-442A51C8CE35}"/>
    <cellStyle name="Currency 5 7 3 2 2 3" xfId="16129" xr:uid="{65E3D5FB-67C9-4645-B3CB-1AC116A4EA52}"/>
    <cellStyle name="Currency 5 7 3 2 3" xfId="20352" xr:uid="{4330ADA0-9F72-4F61-B301-EF1DF066FDFB}"/>
    <cellStyle name="Currency 5 7 3 2 4" xfId="11910" xr:uid="{85E40BB5-11D0-4488-8094-12B032CE0B4C}"/>
    <cellStyle name="Currency 5 7 3 3" xfId="5490" xr:uid="{00000000-0005-0000-0000-0000880D0000}"/>
    <cellStyle name="Currency 5 7 3 3 2" xfId="22425" xr:uid="{3D27F3C8-66D5-4ECC-945B-D130FDEED289}"/>
    <cellStyle name="Currency 5 7 3 3 3" xfId="13984" xr:uid="{CB9415F3-22CF-4E31-A5EA-C908421AC122}"/>
    <cellStyle name="Currency 5 7 3 4" xfId="18207" xr:uid="{6EE85738-94A2-46E7-8035-8F82A0F60894}"/>
    <cellStyle name="Currency 5 7 3 5" xfId="9733" xr:uid="{D59B031E-AC58-476E-B451-6F802632B034}"/>
    <cellStyle name="Currency 5 7 4" xfId="1596" xr:uid="{00000000-0005-0000-0000-0000890D0000}"/>
    <cellStyle name="Currency 5 7 4 2" xfId="3826" xr:uid="{00000000-0005-0000-0000-00008A0D0000}"/>
    <cellStyle name="Currency 5 7 4 2 2" xfId="8048" xr:uid="{00000000-0005-0000-0000-00008B0D0000}"/>
    <cellStyle name="Currency 5 7 4 2 2 2" xfId="24983" xr:uid="{A93BABE3-A36C-412B-AD7F-902A92AF8773}"/>
    <cellStyle name="Currency 5 7 4 2 2 3" xfId="16542" xr:uid="{4591A796-BE74-45F8-AFBE-8B487419396E}"/>
    <cellStyle name="Currency 5 7 4 2 3" xfId="20765" xr:uid="{D10B353F-185D-4D76-8B60-D00392035C1A}"/>
    <cellStyle name="Currency 5 7 4 2 4" xfId="12323" xr:uid="{B3519B0B-ABF2-4588-8B42-8ECC28287636}"/>
    <cellStyle name="Currency 5 7 4 3" xfId="5903" xr:uid="{00000000-0005-0000-0000-00008C0D0000}"/>
    <cellStyle name="Currency 5 7 4 3 2" xfId="22838" xr:uid="{FEAC0ACB-4989-44F2-AB27-8918A825FB6F}"/>
    <cellStyle name="Currency 5 7 4 3 3" xfId="14397" xr:uid="{07354685-7341-492D-BA60-FFEDC5BA4012}"/>
    <cellStyle name="Currency 5 7 4 4" xfId="18620" xr:uid="{9FB53248-F68E-4D08-BCEA-F1818C3118BB}"/>
    <cellStyle name="Currency 5 7 4 5" xfId="10146" xr:uid="{B979022B-EE58-404A-8BCE-9108DAD477FA}"/>
    <cellStyle name="Currency 5 7 5" xfId="2010" xr:uid="{00000000-0005-0000-0000-00008D0D0000}"/>
    <cellStyle name="Currency 5 7 5 2" xfId="4239" xr:uid="{00000000-0005-0000-0000-00008E0D0000}"/>
    <cellStyle name="Currency 5 7 5 2 2" xfId="8461" xr:uid="{00000000-0005-0000-0000-00008F0D0000}"/>
    <cellStyle name="Currency 5 7 5 2 2 2" xfId="25396" xr:uid="{78B8E74A-D906-4DD1-975A-AA827D07B8BE}"/>
    <cellStyle name="Currency 5 7 5 2 2 3" xfId="16955" xr:uid="{A5CB77B1-7E01-4B5D-B988-9B6B436AAF5E}"/>
    <cellStyle name="Currency 5 7 5 2 3" xfId="21178" xr:uid="{CDD9AF93-39CC-4038-824F-879461F2590A}"/>
    <cellStyle name="Currency 5 7 5 2 4" xfId="12736" xr:uid="{519E3AF2-1539-49DF-B7B5-85DBADB4CCE4}"/>
    <cellStyle name="Currency 5 7 5 3" xfId="6316" xr:uid="{00000000-0005-0000-0000-0000900D0000}"/>
    <cellStyle name="Currency 5 7 5 3 2" xfId="23251" xr:uid="{6D7CA8E5-61B6-4033-BFCF-7761D2A860D7}"/>
    <cellStyle name="Currency 5 7 5 3 3" xfId="14810" xr:uid="{E88DB8C6-7FE2-4F98-A969-72CBDD8127F8}"/>
    <cellStyle name="Currency 5 7 5 4" xfId="19033" xr:uid="{BC088B1E-FAEF-49F4-84C1-EB2B502F2F31}"/>
    <cellStyle name="Currency 5 7 5 5" xfId="10559" xr:uid="{57B37E18-C7BC-48F0-BDED-F43A6BC3499A}"/>
    <cellStyle name="Currency 5 7 6" xfId="2445" xr:uid="{00000000-0005-0000-0000-0000910D0000}"/>
    <cellStyle name="Currency 5 7 6 2" xfId="6729" xr:uid="{00000000-0005-0000-0000-0000920D0000}"/>
    <cellStyle name="Currency 5 7 6 2 2" xfId="23664" xr:uid="{4134B8F9-46E9-45CD-BBA1-D51A4BAE4851}"/>
    <cellStyle name="Currency 5 7 6 2 3" xfId="15223" xr:uid="{9779D314-4AD9-4336-8524-94AC4F412730}"/>
    <cellStyle name="Currency 5 7 6 3" xfId="19446" xr:uid="{BD22AA19-1109-4905-8082-CBE7A6D79714}"/>
    <cellStyle name="Currency 5 7 6 4" xfId="10994" xr:uid="{0F22093C-CD03-4AAF-A8BE-5BDB2CFFD9CE}"/>
    <cellStyle name="Currency 5 7 7" xfId="2742" xr:uid="{00000000-0005-0000-0000-0000930D0000}"/>
    <cellStyle name="Currency 5 7 8" xfId="2823" xr:uid="{00000000-0005-0000-0000-0000940D0000}"/>
    <cellStyle name="Currency 5 7 8 2" xfId="7046" xr:uid="{00000000-0005-0000-0000-0000950D0000}"/>
    <cellStyle name="Currency 5 7 8 2 2" xfId="23981" xr:uid="{A613DC8D-A680-43DC-B7B2-237300A041BB}"/>
    <cellStyle name="Currency 5 7 8 2 3" xfId="15540" xr:uid="{52CF306B-4282-471B-B8E7-D60DA12BF1C6}"/>
    <cellStyle name="Currency 5 7 8 3" xfId="19763" xr:uid="{65EF7707-BCFE-4A04-9137-0100310D869B}"/>
    <cellStyle name="Currency 5 7 8 4" xfId="11321" xr:uid="{74DA0D02-4CBD-4A28-8FD3-4BAB88E24321}"/>
    <cellStyle name="Currency 5 7 9" xfId="4663" xr:uid="{00000000-0005-0000-0000-0000960D0000}"/>
    <cellStyle name="Currency 5 7 9 2" xfId="21598" xr:uid="{EAEBD6B0-6CB3-4829-B788-EE7212A9AA96}"/>
    <cellStyle name="Currency 5 7 9 3" xfId="13157" xr:uid="{F16A09BD-17F6-49AB-9E14-38B24DEEA8A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3665" xr:uid="{B8729E07-5002-4D39-AEFC-5EEF5209FD15}"/>
    <cellStyle name="Normal 12 10 2 3" xfId="15224" xr:uid="{D7D77491-C365-4E58-BA96-1BDE6954C368}"/>
    <cellStyle name="Normal 12 10 3" xfId="19447" xr:uid="{806AD024-8F81-443C-B899-3E655645690E}"/>
    <cellStyle name="Normal 12 10 4" xfId="10995" xr:uid="{5D374D1F-347A-4728-9ACE-E3199A4A5BBF}"/>
    <cellStyle name="Normal 12 11" xfId="4664" xr:uid="{00000000-0005-0000-0000-0000CC0D0000}"/>
    <cellStyle name="Normal 12 11 2" xfId="21599" xr:uid="{41E871AD-A9C2-4CD8-9F8C-8B3E5906BE04}"/>
    <cellStyle name="Normal 12 11 3" xfId="13158" xr:uid="{A62A59A3-D597-4D4F-AC72-1CD44F180972}"/>
    <cellStyle name="Normal 12 12" xfId="17381" xr:uid="{B6234462-FA9D-43A9-9356-4F39B5F20DD4}"/>
    <cellStyle name="Normal 12 13" xfId="8906" xr:uid="{35FA4345-29BB-4FCB-8A3A-A3B93FD33068}"/>
    <cellStyle name="Normal 12 2" xfId="260" xr:uid="{00000000-0005-0000-0000-0000CD0D0000}"/>
    <cellStyle name="Normal 12 2 10" xfId="17382" xr:uid="{591BA50F-5B07-4D98-9EEB-DA9C8548F744}"/>
    <cellStyle name="Normal 12 2 11" xfId="8907" xr:uid="{3F95FCDC-A19F-4363-A7D1-50BF04C32DE5}"/>
    <cellStyle name="Normal 12 2 2" xfId="261" xr:uid="{00000000-0005-0000-0000-0000CE0D0000}"/>
    <cellStyle name="Normal 12 2 2 10" xfId="8908" xr:uid="{4BA300E7-CB17-4595-9C6D-8C29C8483128}"/>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161" xr:uid="{C1E8057D-0C30-4C45-B099-6C395B8F1491}"/>
    <cellStyle name="Normal 12 2 2 2 2 2 2 3" xfId="15720" xr:uid="{DD659EBE-DD00-4632-85AE-8F67F46EBEDC}"/>
    <cellStyle name="Normal 12 2 2 2 2 2 3" xfId="19943" xr:uid="{D1619839-602E-4801-A81A-A7E83110319F}"/>
    <cellStyle name="Normal 12 2 2 2 2 2 4" xfId="11501" xr:uid="{217F58A1-3855-4C71-B4B2-DE33B9EA2785}"/>
    <cellStyle name="Normal 12 2 2 2 2 3" xfId="5081" xr:uid="{00000000-0005-0000-0000-0000D30D0000}"/>
    <cellStyle name="Normal 12 2 2 2 2 3 2" xfId="22016" xr:uid="{050455C4-7883-446C-8EDA-57169464616B}"/>
    <cellStyle name="Normal 12 2 2 2 2 3 3" xfId="13575" xr:uid="{141C9BFD-39EA-4868-9F53-4A72E543649C}"/>
    <cellStyle name="Normal 12 2 2 2 2 4" xfId="17798" xr:uid="{374853DF-1C1D-4C65-B6BA-00011B61EDF6}"/>
    <cellStyle name="Normal 12 2 2 2 2 5" xfId="9324" xr:uid="{4098AD3A-0C6D-491D-9EF0-9834D2A9322F}"/>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4574" xr:uid="{734C2978-AC9D-42B0-8604-0CE17C946D5E}"/>
    <cellStyle name="Normal 12 2 2 2 3 2 2 3" xfId="16133" xr:uid="{C9E40C6D-1494-47D7-857B-6893A5E76BBD}"/>
    <cellStyle name="Normal 12 2 2 2 3 2 3" xfId="20356" xr:uid="{A45D4333-9166-48E4-B55E-A9D02638DD00}"/>
    <cellStyle name="Normal 12 2 2 2 3 2 4" xfId="11914" xr:uid="{81B122A1-8A8F-406B-8514-FEA486B87958}"/>
    <cellStyle name="Normal 12 2 2 2 3 3" xfId="5494" xr:uid="{00000000-0005-0000-0000-0000D70D0000}"/>
    <cellStyle name="Normal 12 2 2 2 3 3 2" xfId="22429" xr:uid="{5196FADD-BDDB-44EE-9657-1AC7515030DA}"/>
    <cellStyle name="Normal 12 2 2 2 3 3 3" xfId="13988" xr:uid="{C5F8D7EC-E3BA-4E90-A3E0-C34F3D65D522}"/>
    <cellStyle name="Normal 12 2 2 2 3 4" xfId="18211" xr:uid="{F9F9A378-5E10-4A3F-87AB-DEC831F2F514}"/>
    <cellStyle name="Normal 12 2 2 2 3 5" xfId="9737" xr:uid="{CB6B93F5-A399-4A7D-A965-5C1BE1BDC112}"/>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4987" xr:uid="{262E3B15-C06A-42F4-82EF-D4123A511321}"/>
    <cellStyle name="Normal 12 2 2 2 4 2 2 3" xfId="16546" xr:uid="{2DF0D5C3-CB3E-4CE2-A6AA-F29D9DAE354B}"/>
    <cellStyle name="Normal 12 2 2 2 4 2 3" xfId="20769" xr:uid="{89C212AB-BB58-455E-9638-7BADD63307F6}"/>
    <cellStyle name="Normal 12 2 2 2 4 2 4" xfId="12327" xr:uid="{00BFFE6D-7E8C-498A-A789-21BD79065403}"/>
    <cellStyle name="Normal 12 2 2 2 4 3" xfId="5907" xr:uid="{00000000-0005-0000-0000-0000DB0D0000}"/>
    <cellStyle name="Normal 12 2 2 2 4 3 2" xfId="22842" xr:uid="{2B3C5C23-F796-4A55-86BE-D533FD2809E5}"/>
    <cellStyle name="Normal 12 2 2 2 4 3 3" xfId="14401" xr:uid="{31DB6378-7B76-44FE-8768-CFFE69338698}"/>
    <cellStyle name="Normal 12 2 2 2 4 4" xfId="18624" xr:uid="{2003BAA3-3626-4556-A594-CD179F3A7637}"/>
    <cellStyle name="Normal 12 2 2 2 4 5" xfId="10150" xr:uid="{C6B12763-DA14-439B-BB89-B7B866BEB201}"/>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5400" xr:uid="{B9C7F2B4-131C-42F8-8CA1-3F373BE74A3C}"/>
    <cellStyle name="Normal 12 2 2 2 5 2 2 3" xfId="16959" xr:uid="{2E695BC4-488A-4D10-85F7-93B70D853A5B}"/>
    <cellStyle name="Normal 12 2 2 2 5 2 3" xfId="21182" xr:uid="{E42AF534-42A5-460C-935B-37DACBE4A568}"/>
    <cellStyle name="Normal 12 2 2 2 5 2 4" xfId="12740" xr:uid="{16EF75AE-C9A0-45F4-901A-46BDDA0DFDA9}"/>
    <cellStyle name="Normal 12 2 2 2 5 3" xfId="6320" xr:uid="{00000000-0005-0000-0000-0000DF0D0000}"/>
    <cellStyle name="Normal 12 2 2 2 5 3 2" xfId="23255" xr:uid="{BBFF4D2B-22DC-4995-878B-DB8DAEFFC980}"/>
    <cellStyle name="Normal 12 2 2 2 5 3 3" xfId="14814" xr:uid="{A7EC771E-BA6E-483F-B184-B4B1CB6223B5}"/>
    <cellStyle name="Normal 12 2 2 2 5 4" xfId="19037" xr:uid="{B29BBF70-4CE3-418D-8E42-EC9453D7753D}"/>
    <cellStyle name="Normal 12 2 2 2 5 5" xfId="10563" xr:uid="{C4E3D76C-C1FF-43EE-A294-02719BDBC705}"/>
    <cellStyle name="Normal 12 2 2 2 6" xfId="2450" xr:uid="{00000000-0005-0000-0000-0000E00D0000}"/>
    <cellStyle name="Normal 12 2 2 2 6 2" xfId="6733" xr:uid="{00000000-0005-0000-0000-0000E10D0000}"/>
    <cellStyle name="Normal 12 2 2 2 6 2 2" xfId="23668" xr:uid="{901C052C-7606-4175-8CA6-8267D8BBC769}"/>
    <cellStyle name="Normal 12 2 2 2 6 2 3" xfId="15227" xr:uid="{A79F67E6-6181-45C6-9EB9-D5E2933671A1}"/>
    <cellStyle name="Normal 12 2 2 2 6 3" xfId="19450" xr:uid="{1AAA25B4-77D8-4478-8018-F76882CF5F46}"/>
    <cellStyle name="Normal 12 2 2 2 6 4" xfId="10998" xr:uid="{7F3FF6E5-B233-4D9F-B177-7E90435FA397}"/>
    <cellStyle name="Normal 12 2 2 2 7" xfId="4667" xr:uid="{00000000-0005-0000-0000-0000E20D0000}"/>
    <cellStyle name="Normal 12 2 2 2 7 2" xfId="21602" xr:uid="{3331DE04-1779-4420-91C2-E951E890DCD1}"/>
    <cellStyle name="Normal 12 2 2 2 7 3" xfId="13161" xr:uid="{CFF6EB99-E101-4067-9A42-E30AC93322F3}"/>
    <cellStyle name="Normal 12 2 2 2 8" xfId="17384" xr:uid="{66D9B905-510D-4DC4-B163-5B896FD3AB74}"/>
    <cellStyle name="Normal 12 2 2 2 9" xfId="8909" xr:uid="{D7723097-7E2B-45E8-8A3F-C5439296C957}"/>
    <cellStyle name="Normal 12 2 2 3" xfId="762" xr:uid="{00000000-0005-0000-0000-0000E30D0000}"/>
    <cellStyle name="Normal 12 2 2 3 2" xfId="3003" xr:uid="{00000000-0005-0000-0000-0000E40D0000}"/>
    <cellStyle name="Normal 12 2 2 3 2 2" xfId="7225" xr:uid="{00000000-0005-0000-0000-0000E50D0000}"/>
    <cellStyle name="Normal 12 2 2 3 2 2 2" xfId="24160" xr:uid="{1219F147-8546-42C7-B499-0D23B6E39E9C}"/>
    <cellStyle name="Normal 12 2 2 3 2 2 3" xfId="15719" xr:uid="{F6532009-B0F4-4EC6-82A7-F781609BCCE1}"/>
    <cellStyle name="Normal 12 2 2 3 2 3" xfId="19942" xr:uid="{D25ED79D-2548-47F5-9222-CCBF6351C23E}"/>
    <cellStyle name="Normal 12 2 2 3 2 4" xfId="11500" xr:uid="{7FC15CCA-0B1A-4C33-A2D1-FC5226357575}"/>
    <cellStyle name="Normal 12 2 2 3 3" xfId="5080" xr:uid="{00000000-0005-0000-0000-0000E60D0000}"/>
    <cellStyle name="Normal 12 2 2 3 3 2" xfId="22015" xr:uid="{8FA463A3-BA86-4A12-88CD-BE08F7D1B96E}"/>
    <cellStyle name="Normal 12 2 2 3 3 3" xfId="13574" xr:uid="{ACD1F42F-1678-46AF-BC68-3ECEF8629E35}"/>
    <cellStyle name="Normal 12 2 2 3 4" xfId="17797" xr:uid="{E240CE5F-8481-4A1A-BE1C-643153805020}"/>
    <cellStyle name="Normal 12 2 2 3 5" xfId="9323" xr:uid="{E0F703C5-516C-478C-8D95-FEAF08359BA8}"/>
    <cellStyle name="Normal 12 2 2 4" xfId="1185" xr:uid="{00000000-0005-0000-0000-0000E70D0000}"/>
    <cellStyle name="Normal 12 2 2 4 2" xfId="3416" xr:uid="{00000000-0005-0000-0000-0000E80D0000}"/>
    <cellStyle name="Normal 12 2 2 4 2 2" xfId="7638" xr:uid="{00000000-0005-0000-0000-0000E90D0000}"/>
    <cellStyle name="Normal 12 2 2 4 2 2 2" xfId="24573" xr:uid="{AE85485B-3E3C-48AD-B141-29E28421BD70}"/>
    <cellStyle name="Normal 12 2 2 4 2 2 3" xfId="16132" xr:uid="{4FBC0F3F-1995-42DC-84AB-918E8ACE65A3}"/>
    <cellStyle name="Normal 12 2 2 4 2 3" xfId="20355" xr:uid="{7C7213B2-410E-4FB9-957F-E89812266415}"/>
    <cellStyle name="Normal 12 2 2 4 2 4" xfId="11913" xr:uid="{9924D087-C305-4786-B6D6-B58EDD35F0E3}"/>
    <cellStyle name="Normal 12 2 2 4 3" xfId="5493" xr:uid="{00000000-0005-0000-0000-0000EA0D0000}"/>
    <cellStyle name="Normal 12 2 2 4 3 2" xfId="22428" xr:uid="{2E846EE8-D51B-4CDC-B230-DE4F22F3C14F}"/>
    <cellStyle name="Normal 12 2 2 4 3 3" xfId="13987" xr:uid="{61AF7756-3BCE-4E96-9276-7435EBA9D041}"/>
    <cellStyle name="Normal 12 2 2 4 4" xfId="18210" xr:uid="{1C698E7F-0FFE-4390-9103-60B341AE6D0E}"/>
    <cellStyle name="Normal 12 2 2 4 5" xfId="9736" xr:uid="{6C9A42A8-F9C2-494B-AB72-E1846C246906}"/>
    <cellStyle name="Normal 12 2 2 5" xfId="1599" xr:uid="{00000000-0005-0000-0000-0000EB0D0000}"/>
    <cellStyle name="Normal 12 2 2 5 2" xfId="3829" xr:uid="{00000000-0005-0000-0000-0000EC0D0000}"/>
    <cellStyle name="Normal 12 2 2 5 2 2" xfId="8051" xr:uid="{00000000-0005-0000-0000-0000ED0D0000}"/>
    <cellStyle name="Normal 12 2 2 5 2 2 2" xfId="24986" xr:uid="{EB78D8A3-CA10-45A3-AEED-959FB73CEA63}"/>
    <cellStyle name="Normal 12 2 2 5 2 2 3" xfId="16545" xr:uid="{1E572741-B29D-45CF-8B1A-0F52AB61FC55}"/>
    <cellStyle name="Normal 12 2 2 5 2 3" xfId="20768" xr:uid="{09AC06AA-3BC2-40E0-B81D-81A5C924D5A3}"/>
    <cellStyle name="Normal 12 2 2 5 2 4" xfId="12326" xr:uid="{F3280061-95A7-4A34-A18D-3A02941FDB17}"/>
    <cellStyle name="Normal 12 2 2 5 3" xfId="5906" xr:uid="{00000000-0005-0000-0000-0000EE0D0000}"/>
    <cellStyle name="Normal 12 2 2 5 3 2" xfId="22841" xr:uid="{92D7C3EC-AE63-42E7-8813-B7FCDF25DFEC}"/>
    <cellStyle name="Normal 12 2 2 5 3 3" xfId="14400" xr:uid="{FACDA723-F5BE-4CB4-A66E-A10FB17943F0}"/>
    <cellStyle name="Normal 12 2 2 5 4" xfId="18623" xr:uid="{EA528AD7-9C9B-422B-BD8D-F1DB2131D8BF}"/>
    <cellStyle name="Normal 12 2 2 5 5" xfId="10149" xr:uid="{EA6D487B-6A96-488F-8B13-51D895A65151}"/>
    <cellStyle name="Normal 12 2 2 6" xfId="2013" xr:uid="{00000000-0005-0000-0000-0000EF0D0000}"/>
    <cellStyle name="Normal 12 2 2 6 2" xfId="4242" xr:uid="{00000000-0005-0000-0000-0000F00D0000}"/>
    <cellStyle name="Normal 12 2 2 6 2 2" xfId="8464" xr:uid="{00000000-0005-0000-0000-0000F10D0000}"/>
    <cellStyle name="Normal 12 2 2 6 2 2 2" xfId="25399" xr:uid="{F0FECF67-998E-460D-9FF5-910204A01BB0}"/>
    <cellStyle name="Normal 12 2 2 6 2 2 3" xfId="16958" xr:uid="{61BF302D-8A2B-45BF-B66E-2D7FFE684EC4}"/>
    <cellStyle name="Normal 12 2 2 6 2 3" xfId="21181" xr:uid="{9468F640-0D01-461C-A686-45800B2F6E05}"/>
    <cellStyle name="Normal 12 2 2 6 2 4" xfId="12739" xr:uid="{444F3BEF-F405-4F5D-969F-43394FD34262}"/>
    <cellStyle name="Normal 12 2 2 6 3" xfId="6319" xr:uid="{00000000-0005-0000-0000-0000F20D0000}"/>
    <cellStyle name="Normal 12 2 2 6 3 2" xfId="23254" xr:uid="{6E5B6854-146C-4DDB-80BD-79623B6F1DDB}"/>
    <cellStyle name="Normal 12 2 2 6 3 3" xfId="14813" xr:uid="{0F5D9E52-6FD4-4E22-93BF-1A9614701C24}"/>
    <cellStyle name="Normal 12 2 2 6 4" xfId="19036" xr:uid="{124C5B86-5396-42B2-9069-81DB473C3580}"/>
    <cellStyle name="Normal 12 2 2 6 5" xfId="10562" xr:uid="{9FB3E118-E152-4568-9EE2-B7384D10F349}"/>
    <cellStyle name="Normal 12 2 2 7" xfId="2449" xr:uid="{00000000-0005-0000-0000-0000F30D0000}"/>
    <cellStyle name="Normal 12 2 2 7 2" xfId="6732" xr:uid="{00000000-0005-0000-0000-0000F40D0000}"/>
    <cellStyle name="Normal 12 2 2 7 2 2" xfId="23667" xr:uid="{ABC525AF-4C5A-495A-BB37-D56F8C7130AD}"/>
    <cellStyle name="Normal 12 2 2 7 2 3" xfId="15226" xr:uid="{AE6D2B9C-C419-4280-A833-D8ACCF51198E}"/>
    <cellStyle name="Normal 12 2 2 7 3" xfId="19449" xr:uid="{CF22753F-15B8-47C9-9411-5CAB485C1FCE}"/>
    <cellStyle name="Normal 12 2 2 7 4" xfId="10997" xr:uid="{87647D7A-ECEC-4420-A5AE-BD61603096A3}"/>
    <cellStyle name="Normal 12 2 2 8" xfId="4666" xr:uid="{00000000-0005-0000-0000-0000F50D0000}"/>
    <cellStyle name="Normal 12 2 2 8 2" xfId="21601" xr:uid="{43BBC402-3F83-4D19-96F7-B9BFB92A3D23}"/>
    <cellStyle name="Normal 12 2 2 8 3" xfId="13160" xr:uid="{6FE27898-FA52-4B3C-8488-3DCD88CD90D9}"/>
    <cellStyle name="Normal 12 2 2 9" xfId="17383" xr:uid="{59B4B50E-7E9D-4314-B21E-6F6F63DEE173}"/>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24162" xr:uid="{5FACE671-EB41-410B-80FF-31C792A27B6F}"/>
    <cellStyle name="Normal 12 2 3 2 2 2 3" xfId="15721" xr:uid="{67C388E7-D839-49F5-8FC7-5304AEFE2A45}"/>
    <cellStyle name="Normal 12 2 3 2 2 3" xfId="19944" xr:uid="{B4D22323-C551-4E5D-BB50-D6499B466311}"/>
    <cellStyle name="Normal 12 2 3 2 2 4" xfId="11502" xr:uid="{0BCF43A7-B30A-478C-809E-B4DABFE22B6C}"/>
    <cellStyle name="Normal 12 2 3 2 3" xfId="5082" xr:uid="{00000000-0005-0000-0000-0000FA0D0000}"/>
    <cellStyle name="Normal 12 2 3 2 3 2" xfId="22017" xr:uid="{F5E3708F-1E13-4BDE-B0B2-DFB49C2BD09E}"/>
    <cellStyle name="Normal 12 2 3 2 3 3" xfId="13576" xr:uid="{3D114F1F-2B3E-45EE-B121-6AB1A8C3D390}"/>
    <cellStyle name="Normal 12 2 3 2 4" xfId="17799" xr:uid="{D9AADB50-1B36-44E5-B0F3-F3F060D6C10F}"/>
    <cellStyle name="Normal 12 2 3 2 5" xfId="9325" xr:uid="{9C4A1631-161B-4722-9127-02E199701809}"/>
    <cellStyle name="Normal 12 2 3 3" xfId="1187" xr:uid="{00000000-0005-0000-0000-0000FB0D0000}"/>
    <cellStyle name="Normal 12 2 3 3 2" xfId="3418" xr:uid="{00000000-0005-0000-0000-0000FC0D0000}"/>
    <cellStyle name="Normal 12 2 3 3 2 2" xfId="7640" xr:uid="{00000000-0005-0000-0000-0000FD0D0000}"/>
    <cellStyle name="Normal 12 2 3 3 2 2 2" xfId="24575" xr:uid="{9A82E36B-19CA-47D7-9460-19054D45CDEE}"/>
    <cellStyle name="Normal 12 2 3 3 2 2 3" xfId="16134" xr:uid="{67A30AD8-0E17-42BD-8216-04CED3D60C3D}"/>
    <cellStyle name="Normal 12 2 3 3 2 3" xfId="20357" xr:uid="{7BE325B2-C6C6-4843-A898-72270B1D9B41}"/>
    <cellStyle name="Normal 12 2 3 3 2 4" xfId="11915" xr:uid="{8496C699-F5C6-4B10-9F52-3AF9994B78FE}"/>
    <cellStyle name="Normal 12 2 3 3 3" xfId="5495" xr:uid="{00000000-0005-0000-0000-0000FE0D0000}"/>
    <cellStyle name="Normal 12 2 3 3 3 2" xfId="22430" xr:uid="{01585B32-4DAF-4EE7-A2C4-9A293B495E88}"/>
    <cellStyle name="Normal 12 2 3 3 3 3" xfId="13989" xr:uid="{AD6BC705-C1E2-4502-BD39-426433DF3489}"/>
    <cellStyle name="Normal 12 2 3 3 4" xfId="18212" xr:uid="{71B22046-149E-4CA4-80CC-597C286D73A3}"/>
    <cellStyle name="Normal 12 2 3 3 5" xfId="9738" xr:uid="{9CDF3A72-6367-4E1E-B099-1635E6E79F09}"/>
    <cellStyle name="Normal 12 2 3 4" xfId="1601" xr:uid="{00000000-0005-0000-0000-0000FF0D0000}"/>
    <cellStyle name="Normal 12 2 3 4 2" xfId="3831" xr:uid="{00000000-0005-0000-0000-0000000E0000}"/>
    <cellStyle name="Normal 12 2 3 4 2 2" xfId="8053" xr:uid="{00000000-0005-0000-0000-0000010E0000}"/>
    <cellStyle name="Normal 12 2 3 4 2 2 2" xfId="24988" xr:uid="{A79FABD6-3C61-4743-B129-B8AE81685523}"/>
    <cellStyle name="Normal 12 2 3 4 2 2 3" xfId="16547" xr:uid="{53CCC26E-014D-40CC-87F4-7CCA63B10C49}"/>
    <cellStyle name="Normal 12 2 3 4 2 3" xfId="20770" xr:uid="{B68935AF-1847-4541-B3A6-D0E6623C8D72}"/>
    <cellStyle name="Normal 12 2 3 4 2 4" xfId="12328" xr:uid="{BA41B342-B7FD-44A1-99CB-67A3CE5539F6}"/>
    <cellStyle name="Normal 12 2 3 4 3" xfId="5908" xr:uid="{00000000-0005-0000-0000-0000020E0000}"/>
    <cellStyle name="Normal 12 2 3 4 3 2" xfId="22843" xr:uid="{2A5E5A0C-E6F0-4B04-BD0F-0D1022ED87AC}"/>
    <cellStyle name="Normal 12 2 3 4 3 3" xfId="14402" xr:uid="{7EC81B6A-5F2A-498B-A233-8B41E62050DE}"/>
    <cellStyle name="Normal 12 2 3 4 4" xfId="18625" xr:uid="{D4EF7434-6E63-48A2-996A-71214DA694C3}"/>
    <cellStyle name="Normal 12 2 3 4 5" xfId="10151" xr:uid="{6AD2997D-3C0B-42E4-8FEC-576CB32E6A60}"/>
    <cellStyle name="Normal 12 2 3 5" xfId="2015" xr:uid="{00000000-0005-0000-0000-0000030E0000}"/>
    <cellStyle name="Normal 12 2 3 5 2" xfId="4244" xr:uid="{00000000-0005-0000-0000-0000040E0000}"/>
    <cellStyle name="Normal 12 2 3 5 2 2" xfId="8466" xr:uid="{00000000-0005-0000-0000-0000050E0000}"/>
    <cellStyle name="Normal 12 2 3 5 2 2 2" xfId="25401" xr:uid="{22E8FF66-A5A0-453F-8E0B-FE248C0F8511}"/>
    <cellStyle name="Normal 12 2 3 5 2 2 3" xfId="16960" xr:uid="{54448585-DA29-4E70-B438-9DCEBC7DAA4A}"/>
    <cellStyle name="Normal 12 2 3 5 2 3" xfId="21183" xr:uid="{186CEE24-E424-4A43-A898-E19F0EC89A03}"/>
    <cellStyle name="Normal 12 2 3 5 2 4" xfId="12741" xr:uid="{5DE01717-B1D7-4102-BFAA-ACD836A6F5B3}"/>
    <cellStyle name="Normal 12 2 3 5 3" xfId="6321" xr:uid="{00000000-0005-0000-0000-0000060E0000}"/>
    <cellStyle name="Normal 12 2 3 5 3 2" xfId="23256" xr:uid="{E48A4A20-BE95-4F35-8518-3829DA93054D}"/>
    <cellStyle name="Normal 12 2 3 5 3 3" xfId="14815" xr:uid="{7657E309-3F97-4812-A79D-B765CB428094}"/>
    <cellStyle name="Normal 12 2 3 5 4" xfId="19038" xr:uid="{7AC54D52-3F59-47CD-A429-D3BE6FE2DE62}"/>
    <cellStyle name="Normal 12 2 3 5 5" xfId="10564" xr:uid="{23921464-BCCC-478B-9185-09E2C2A98ABC}"/>
    <cellStyle name="Normal 12 2 3 6" xfId="2451" xr:uid="{00000000-0005-0000-0000-0000070E0000}"/>
    <cellStyle name="Normal 12 2 3 6 2" xfId="6734" xr:uid="{00000000-0005-0000-0000-0000080E0000}"/>
    <cellStyle name="Normal 12 2 3 6 2 2" xfId="23669" xr:uid="{66E8FE6B-7F94-44AD-88B2-ABC15D0127DE}"/>
    <cellStyle name="Normal 12 2 3 6 2 3" xfId="15228" xr:uid="{5D3F4DB2-4488-434D-9C43-45032FB1D47C}"/>
    <cellStyle name="Normal 12 2 3 6 3" xfId="19451" xr:uid="{6D5AAF10-1516-42AF-B38D-B078EA2A2875}"/>
    <cellStyle name="Normal 12 2 3 6 4" xfId="10999" xr:uid="{02F74C6A-9002-4C67-BFBE-D60F7AC3B76C}"/>
    <cellStyle name="Normal 12 2 3 7" xfId="4668" xr:uid="{00000000-0005-0000-0000-0000090E0000}"/>
    <cellStyle name="Normal 12 2 3 7 2" xfId="21603" xr:uid="{0054B001-0A73-4373-98A6-336329ECA0F0}"/>
    <cellStyle name="Normal 12 2 3 7 3" xfId="13162" xr:uid="{C41621F7-8B23-41ED-BDD3-07C349D095AF}"/>
    <cellStyle name="Normal 12 2 3 8" xfId="17385" xr:uid="{7EC07B60-91D0-411D-83F9-FC6AE84E66FC}"/>
    <cellStyle name="Normal 12 2 3 9" xfId="8910" xr:uid="{BBD3E985-517A-43D0-86DB-6039013AB6EB}"/>
    <cellStyle name="Normal 12 2 4" xfId="761" xr:uid="{00000000-0005-0000-0000-00000A0E0000}"/>
    <cellStyle name="Normal 12 2 4 2" xfId="3002" xr:uid="{00000000-0005-0000-0000-00000B0E0000}"/>
    <cellStyle name="Normal 12 2 4 2 2" xfId="7224" xr:uid="{00000000-0005-0000-0000-00000C0E0000}"/>
    <cellStyle name="Normal 12 2 4 2 2 2" xfId="24159" xr:uid="{A3C5EC27-F8A3-4395-80AB-CE974B603D06}"/>
    <cellStyle name="Normal 12 2 4 2 2 3" xfId="15718" xr:uid="{9C06B191-3B34-4290-BAA0-3E4154EEB488}"/>
    <cellStyle name="Normal 12 2 4 2 3" xfId="19941" xr:uid="{1FE51EF3-B654-4923-9AD7-106FEAD7BB94}"/>
    <cellStyle name="Normal 12 2 4 2 4" xfId="11499" xr:uid="{767549A1-BA28-44CF-BDD7-02583FA2555D}"/>
    <cellStyle name="Normal 12 2 4 3" xfId="5079" xr:uid="{00000000-0005-0000-0000-00000D0E0000}"/>
    <cellStyle name="Normal 12 2 4 3 2" xfId="22014" xr:uid="{6E36A16B-7930-4C17-BEC4-B757BCA32C20}"/>
    <cellStyle name="Normal 12 2 4 3 3" xfId="13573" xr:uid="{5AB031B9-D513-492F-B9B8-D8693622F343}"/>
    <cellStyle name="Normal 12 2 4 4" xfId="17796" xr:uid="{1D9E78B9-159D-4411-B06D-E4442B83656B}"/>
    <cellStyle name="Normal 12 2 4 5" xfId="9322" xr:uid="{0616911A-1B80-4836-BE14-E7BFABD2DEBC}"/>
    <cellStyle name="Normal 12 2 5" xfId="1184" xr:uid="{00000000-0005-0000-0000-00000E0E0000}"/>
    <cellStyle name="Normal 12 2 5 2" xfId="3415" xr:uid="{00000000-0005-0000-0000-00000F0E0000}"/>
    <cellStyle name="Normal 12 2 5 2 2" xfId="7637" xr:uid="{00000000-0005-0000-0000-0000100E0000}"/>
    <cellStyle name="Normal 12 2 5 2 2 2" xfId="24572" xr:uid="{478FDF77-6E80-4DBC-9D05-1E0242C1301B}"/>
    <cellStyle name="Normal 12 2 5 2 2 3" xfId="16131" xr:uid="{92A4EFBA-7CD7-4F68-A3A8-A5D22DC485BE}"/>
    <cellStyle name="Normal 12 2 5 2 3" xfId="20354" xr:uid="{EA13D431-EDDB-4218-AA7E-56B9F37254B8}"/>
    <cellStyle name="Normal 12 2 5 2 4" xfId="11912" xr:uid="{D27B1312-A1EC-4D0A-BC64-890300441BDF}"/>
    <cellStyle name="Normal 12 2 5 3" xfId="5492" xr:uid="{00000000-0005-0000-0000-0000110E0000}"/>
    <cellStyle name="Normal 12 2 5 3 2" xfId="22427" xr:uid="{C5C0B3F1-4034-4086-A172-7DB9CD105CCD}"/>
    <cellStyle name="Normal 12 2 5 3 3" xfId="13986" xr:uid="{5070080D-F90E-44DD-BA56-826BEB792A5B}"/>
    <cellStyle name="Normal 12 2 5 4" xfId="18209" xr:uid="{4138B712-50B0-4BC9-9435-8B83769A862A}"/>
    <cellStyle name="Normal 12 2 5 5" xfId="9735" xr:uid="{9F73249D-1607-4080-81AC-F93D80EF382C}"/>
    <cellStyle name="Normal 12 2 6" xfId="1598" xr:uid="{00000000-0005-0000-0000-0000120E0000}"/>
    <cellStyle name="Normal 12 2 6 2" xfId="3828" xr:uid="{00000000-0005-0000-0000-0000130E0000}"/>
    <cellStyle name="Normal 12 2 6 2 2" xfId="8050" xr:uid="{00000000-0005-0000-0000-0000140E0000}"/>
    <cellStyle name="Normal 12 2 6 2 2 2" xfId="24985" xr:uid="{95C0B5DC-7A69-4472-A720-9D0B47FE95E9}"/>
    <cellStyle name="Normal 12 2 6 2 2 3" xfId="16544" xr:uid="{4425BD95-A5DD-42EB-9680-FBDF5310EB0C}"/>
    <cellStyle name="Normal 12 2 6 2 3" xfId="20767" xr:uid="{60BE061A-9643-4618-9372-4CC753C10701}"/>
    <cellStyle name="Normal 12 2 6 2 4" xfId="12325" xr:uid="{D0C39CE8-6CD2-4520-BAF7-A65BB5B58D51}"/>
    <cellStyle name="Normal 12 2 6 3" xfId="5905" xr:uid="{00000000-0005-0000-0000-0000150E0000}"/>
    <cellStyle name="Normal 12 2 6 3 2" xfId="22840" xr:uid="{8F441C2C-EE76-474A-A7DC-CC391B5DC6A5}"/>
    <cellStyle name="Normal 12 2 6 3 3" xfId="14399" xr:uid="{09401625-8D07-42A7-86DC-FC31BB218508}"/>
    <cellStyle name="Normal 12 2 6 4" xfId="18622" xr:uid="{2780607B-0297-4FDA-BDC3-0B4E84025266}"/>
    <cellStyle name="Normal 12 2 6 5" xfId="10148" xr:uid="{C4902C09-49E4-4E59-B0EF-98B627C7B8A0}"/>
    <cellStyle name="Normal 12 2 7" xfId="2012" xr:uid="{00000000-0005-0000-0000-0000160E0000}"/>
    <cellStyle name="Normal 12 2 7 2" xfId="4241" xr:uid="{00000000-0005-0000-0000-0000170E0000}"/>
    <cellStyle name="Normal 12 2 7 2 2" xfId="8463" xr:uid="{00000000-0005-0000-0000-0000180E0000}"/>
    <cellStyle name="Normal 12 2 7 2 2 2" xfId="25398" xr:uid="{765F01BD-4D46-41D1-96CC-877B7271FD5F}"/>
    <cellStyle name="Normal 12 2 7 2 2 3" xfId="16957" xr:uid="{217A83C4-19B0-4B20-8ACA-A2426C6D2F41}"/>
    <cellStyle name="Normal 12 2 7 2 3" xfId="21180" xr:uid="{EE7DD486-F1F6-48B3-A46D-B76EF5EA73F3}"/>
    <cellStyle name="Normal 12 2 7 2 4" xfId="12738" xr:uid="{06470427-E8DE-48A3-A73E-0A6059A273E2}"/>
    <cellStyle name="Normal 12 2 7 3" xfId="6318" xr:uid="{00000000-0005-0000-0000-0000190E0000}"/>
    <cellStyle name="Normal 12 2 7 3 2" xfId="23253" xr:uid="{D85F026A-AA4A-4411-B716-C3BDB64B1136}"/>
    <cellStyle name="Normal 12 2 7 3 3" xfId="14812" xr:uid="{DA8C6C6F-E499-4144-8FCA-8D272A067994}"/>
    <cellStyle name="Normal 12 2 7 4" xfId="19035" xr:uid="{6D10C088-AEC5-4573-8ADD-34A6B55570A8}"/>
    <cellStyle name="Normal 12 2 7 5" xfId="10561" xr:uid="{F0590596-F39A-4258-A72D-4DD01C88253E}"/>
    <cellStyle name="Normal 12 2 8" xfId="2448" xr:uid="{00000000-0005-0000-0000-00001A0E0000}"/>
    <cellStyle name="Normal 12 2 8 2" xfId="6731" xr:uid="{00000000-0005-0000-0000-00001B0E0000}"/>
    <cellStyle name="Normal 12 2 8 2 2" xfId="23666" xr:uid="{126F5754-98C0-4D57-88BC-19E5C0DED605}"/>
    <cellStyle name="Normal 12 2 8 2 3" xfId="15225" xr:uid="{75C74628-6DBA-4829-8433-C0D9F000CCFB}"/>
    <cellStyle name="Normal 12 2 8 3" xfId="19448" xr:uid="{383A5714-7482-4A2E-902B-C4DBD7244CF5}"/>
    <cellStyle name="Normal 12 2 8 4" xfId="10996" xr:uid="{0F5C0A6C-0BF3-41A4-9114-A17AF067FD5B}"/>
    <cellStyle name="Normal 12 2 9" xfId="4665" xr:uid="{00000000-0005-0000-0000-00001C0E0000}"/>
    <cellStyle name="Normal 12 2 9 2" xfId="21600" xr:uid="{FDF63802-50B4-4A18-BE3A-09253199BD5C}"/>
    <cellStyle name="Normal 12 2 9 3" xfId="13159" xr:uid="{8F34E5E3-1EA9-4DDD-B2DC-2DB2DEFE5F59}"/>
    <cellStyle name="Normal 12 3" xfId="264" xr:uid="{00000000-0005-0000-0000-00001D0E0000}"/>
    <cellStyle name="Normal 12 3 10" xfId="8911" xr:uid="{F5C64FC2-07F1-4B2A-9B8B-9D00B5206ABA}"/>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24164" xr:uid="{F7848055-A361-4E30-8EDE-389434339F96}"/>
    <cellStyle name="Normal 12 3 2 2 2 2 3" xfId="15723" xr:uid="{A93283CF-7D4A-4AF9-9732-8A7947AE9B2A}"/>
    <cellStyle name="Normal 12 3 2 2 2 3" xfId="19946" xr:uid="{89AD1F2E-F447-425B-830A-9763BD758BFB}"/>
    <cellStyle name="Normal 12 3 2 2 2 4" xfId="11504" xr:uid="{49EAD85F-8E81-4245-B23B-ACB5304145E2}"/>
    <cellStyle name="Normal 12 3 2 2 3" xfId="5084" xr:uid="{00000000-0005-0000-0000-0000220E0000}"/>
    <cellStyle name="Normal 12 3 2 2 3 2" xfId="22019" xr:uid="{478A1F38-E564-416F-9D26-E4C37AAA8753}"/>
    <cellStyle name="Normal 12 3 2 2 3 3" xfId="13578" xr:uid="{AA636633-F897-4B49-B5BE-6CF5B857F549}"/>
    <cellStyle name="Normal 12 3 2 2 4" xfId="17801" xr:uid="{279C3E21-0C62-49C5-99AA-A549C27956AA}"/>
    <cellStyle name="Normal 12 3 2 2 5" xfId="9327" xr:uid="{39042EA9-63B7-4FB7-B424-0FA328411990}"/>
    <cellStyle name="Normal 12 3 2 3" xfId="1189" xr:uid="{00000000-0005-0000-0000-0000230E0000}"/>
    <cellStyle name="Normal 12 3 2 3 2" xfId="3420" xr:uid="{00000000-0005-0000-0000-0000240E0000}"/>
    <cellStyle name="Normal 12 3 2 3 2 2" xfId="7642" xr:uid="{00000000-0005-0000-0000-0000250E0000}"/>
    <cellStyle name="Normal 12 3 2 3 2 2 2" xfId="24577" xr:uid="{A9421A7D-65BA-4743-993D-7A52C965066A}"/>
    <cellStyle name="Normal 12 3 2 3 2 2 3" xfId="16136" xr:uid="{C76CE19C-06B4-4835-A32D-290A1F3914E0}"/>
    <cellStyle name="Normal 12 3 2 3 2 3" xfId="20359" xr:uid="{8EF4314E-4A04-475C-9D28-CB380A114736}"/>
    <cellStyle name="Normal 12 3 2 3 2 4" xfId="11917" xr:uid="{01051F38-117E-41C7-89CD-F39A833E9137}"/>
    <cellStyle name="Normal 12 3 2 3 3" xfId="5497" xr:uid="{00000000-0005-0000-0000-0000260E0000}"/>
    <cellStyle name="Normal 12 3 2 3 3 2" xfId="22432" xr:uid="{F4AE540B-CB23-49F5-9DFB-30D2C3970D86}"/>
    <cellStyle name="Normal 12 3 2 3 3 3" xfId="13991" xr:uid="{2A4F49D7-70D5-42B2-B827-EF8BECFF2AF5}"/>
    <cellStyle name="Normal 12 3 2 3 4" xfId="18214" xr:uid="{F755F1E6-F818-4F70-8216-CAAEE8F12A0C}"/>
    <cellStyle name="Normal 12 3 2 3 5" xfId="9740" xr:uid="{BAC3A80C-8C67-4A85-87A0-C600AD98C913}"/>
    <cellStyle name="Normal 12 3 2 4" xfId="1603" xr:uid="{00000000-0005-0000-0000-0000270E0000}"/>
    <cellStyle name="Normal 12 3 2 4 2" xfId="3833" xr:uid="{00000000-0005-0000-0000-0000280E0000}"/>
    <cellStyle name="Normal 12 3 2 4 2 2" xfId="8055" xr:uid="{00000000-0005-0000-0000-0000290E0000}"/>
    <cellStyle name="Normal 12 3 2 4 2 2 2" xfId="24990" xr:uid="{9BD9E55A-0502-4F29-A842-98075CEAB031}"/>
    <cellStyle name="Normal 12 3 2 4 2 2 3" xfId="16549" xr:uid="{910A4E6C-8DF6-4479-8ABF-780B2CB2F8A4}"/>
    <cellStyle name="Normal 12 3 2 4 2 3" xfId="20772" xr:uid="{7DB04FB1-2CE0-4B2D-8291-12C859F6F3F4}"/>
    <cellStyle name="Normal 12 3 2 4 2 4" xfId="12330" xr:uid="{04776FCF-72BD-4604-815F-E1C27E1F51C8}"/>
    <cellStyle name="Normal 12 3 2 4 3" xfId="5910" xr:uid="{00000000-0005-0000-0000-00002A0E0000}"/>
    <cellStyle name="Normal 12 3 2 4 3 2" xfId="22845" xr:uid="{D98D8D61-C3C9-4E8A-B8B4-62C96AA626C8}"/>
    <cellStyle name="Normal 12 3 2 4 3 3" xfId="14404" xr:uid="{E3346B3F-0D86-45B9-BDD1-4FF0EAA25992}"/>
    <cellStyle name="Normal 12 3 2 4 4" xfId="18627" xr:uid="{9FEB187F-F596-48EE-8D5F-30B5DA0A1A84}"/>
    <cellStyle name="Normal 12 3 2 4 5" xfId="10153" xr:uid="{DCCE4B2B-3F23-43E7-96E7-F566B7B26F74}"/>
    <cellStyle name="Normal 12 3 2 5" xfId="2017" xr:uid="{00000000-0005-0000-0000-00002B0E0000}"/>
    <cellStyle name="Normal 12 3 2 5 2" xfId="4246" xr:uid="{00000000-0005-0000-0000-00002C0E0000}"/>
    <cellStyle name="Normal 12 3 2 5 2 2" xfId="8468" xr:uid="{00000000-0005-0000-0000-00002D0E0000}"/>
    <cellStyle name="Normal 12 3 2 5 2 2 2" xfId="25403" xr:uid="{C7D24C0A-7F04-4C19-9ECB-C42BC5F7A043}"/>
    <cellStyle name="Normal 12 3 2 5 2 2 3" xfId="16962" xr:uid="{CEBD134D-E427-4210-8743-52BF29B4B676}"/>
    <cellStyle name="Normal 12 3 2 5 2 3" xfId="21185" xr:uid="{170E4601-9BC0-4E41-A431-F7CF9A93B7D4}"/>
    <cellStyle name="Normal 12 3 2 5 2 4" xfId="12743" xr:uid="{55DA5129-80D5-417B-9AFB-6FBDA2846F73}"/>
    <cellStyle name="Normal 12 3 2 5 3" xfId="6323" xr:uid="{00000000-0005-0000-0000-00002E0E0000}"/>
    <cellStyle name="Normal 12 3 2 5 3 2" xfId="23258" xr:uid="{EC5300BA-FFE7-48F6-B174-670CB90AC736}"/>
    <cellStyle name="Normal 12 3 2 5 3 3" xfId="14817" xr:uid="{7522709F-F818-46EF-8130-8DFB0F57CFF5}"/>
    <cellStyle name="Normal 12 3 2 5 4" xfId="19040" xr:uid="{317E9DC6-3D32-4B01-9B89-C999996B0936}"/>
    <cellStyle name="Normal 12 3 2 5 5" xfId="10566" xr:uid="{95445430-7E59-47A0-8037-90DF9A003A11}"/>
    <cellStyle name="Normal 12 3 2 6" xfId="2453" xr:uid="{00000000-0005-0000-0000-00002F0E0000}"/>
    <cellStyle name="Normal 12 3 2 6 2" xfId="6736" xr:uid="{00000000-0005-0000-0000-0000300E0000}"/>
    <cellStyle name="Normal 12 3 2 6 2 2" xfId="23671" xr:uid="{2919BE9D-3B98-4280-BAA2-FD2986F914E3}"/>
    <cellStyle name="Normal 12 3 2 6 2 3" xfId="15230" xr:uid="{68BFEAD9-3710-4CCF-A66E-FAF381E9312D}"/>
    <cellStyle name="Normal 12 3 2 6 3" xfId="19453" xr:uid="{84A8132A-F043-495E-8735-F551AA84AA88}"/>
    <cellStyle name="Normal 12 3 2 6 4" xfId="11001" xr:uid="{65AE3F0A-A745-4065-B38C-9EB9F035F8B0}"/>
    <cellStyle name="Normal 12 3 2 7" xfId="4670" xr:uid="{00000000-0005-0000-0000-0000310E0000}"/>
    <cellStyle name="Normal 12 3 2 7 2" xfId="21605" xr:uid="{FC57CFD4-7BCD-4DDD-B8E0-FB20492772F5}"/>
    <cellStyle name="Normal 12 3 2 7 3" xfId="13164" xr:uid="{E07F8D14-0CD6-49CC-BDE4-2A7A4E85344A}"/>
    <cellStyle name="Normal 12 3 2 8" xfId="17387" xr:uid="{A5C6F538-AEBB-4D88-95AD-CA387908A6BB}"/>
    <cellStyle name="Normal 12 3 2 9" xfId="8912" xr:uid="{431FB7C1-46D5-4952-AE7F-575102198A36}"/>
    <cellStyle name="Normal 12 3 3" xfId="765" xr:uid="{00000000-0005-0000-0000-0000320E0000}"/>
    <cellStyle name="Normal 12 3 3 2" xfId="3006" xr:uid="{00000000-0005-0000-0000-0000330E0000}"/>
    <cellStyle name="Normal 12 3 3 2 2" xfId="7228" xr:uid="{00000000-0005-0000-0000-0000340E0000}"/>
    <cellStyle name="Normal 12 3 3 2 2 2" xfId="24163" xr:uid="{951F3F50-A4FE-495D-9025-247F2897AC9C}"/>
    <cellStyle name="Normal 12 3 3 2 2 3" xfId="15722" xr:uid="{5944ADA5-DA86-415F-AD77-CC548276DB6E}"/>
    <cellStyle name="Normal 12 3 3 2 3" xfId="19945" xr:uid="{64E1F43D-FA32-4FE5-94CF-8A0FEC44282E}"/>
    <cellStyle name="Normal 12 3 3 2 4" xfId="11503" xr:uid="{D6DF093A-E3F3-472F-9BC1-31689169D8DA}"/>
    <cellStyle name="Normal 12 3 3 3" xfId="5083" xr:uid="{00000000-0005-0000-0000-0000350E0000}"/>
    <cellStyle name="Normal 12 3 3 3 2" xfId="22018" xr:uid="{8C6C6E6C-CA49-4E9B-B45E-1C0EA2D54148}"/>
    <cellStyle name="Normal 12 3 3 3 3" xfId="13577" xr:uid="{8D28A059-7ED1-4E44-971B-7AEF65F802FA}"/>
    <cellStyle name="Normal 12 3 3 4" xfId="17800" xr:uid="{E3DB1E63-E0E9-4C37-A3F3-981BC80ECEB1}"/>
    <cellStyle name="Normal 12 3 3 5" xfId="9326" xr:uid="{1076511B-89AA-425A-A371-86B8A34AA953}"/>
    <cellStyle name="Normal 12 3 4" xfId="1188" xr:uid="{00000000-0005-0000-0000-0000360E0000}"/>
    <cellStyle name="Normal 12 3 4 2" xfId="3419" xr:uid="{00000000-0005-0000-0000-0000370E0000}"/>
    <cellStyle name="Normal 12 3 4 2 2" xfId="7641" xr:uid="{00000000-0005-0000-0000-0000380E0000}"/>
    <cellStyle name="Normal 12 3 4 2 2 2" xfId="24576" xr:uid="{AD971CE7-CE79-486F-B8A0-3CF40F3F7433}"/>
    <cellStyle name="Normal 12 3 4 2 2 3" xfId="16135" xr:uid="{B4EEE24B-A50B-41DE-B64C-3E51438CBDC5}"/>
    <cellStyle name="Normal 12 3 4 2 3" xfId="20358" xr:uid="{B0D9BC2D-EB43-4740-97BF-197C8D1E2F7E}"/>
    <cellStyle name="Normal 12 3 4 2 4" xfId="11916" xr:uid="{B128C19F-6D10-450B-8CE7-83E12E8508B0}"/>
    <cellStyle name="Normal 12 3 4 3" xfId="5496" xr:uid="{00000000-0005-0000-0000-0000390E0000}"/>
    <cellStyle name="Normal 12 3 4 3 2" xfId="22431" xr:uid="{ACF977A1-A2AB-46C1-9B61-44EC30E9390D}"/>
    <cellStyle name="Normal 12 3 4 3 3" xfId="13990" xr:uid="{5F8409E1-5C17-48D7-9A13-0B15BE8ACDD7}"/>
    <cellStyle name="Normal 12 3 4 4" xfId="18213" xr:uid="{6198CB25-8DF9-45AF-9931-921095309C88}"/>
    <cellStyle name="Normal 12 3 4 5" xfId="9739" xr:uid="{644DB299-934D-4C2F-B543-F9CAD037920C}"/>
    <cellStyle name="Normal 12 3 5" xfId="1602" xr:uid="{00000000-0005-0000-0000-00003A0E0000}"/>
    <cellStyle name="Normal 12 3 5 2" xfId="3832" xr:uid="{00000000-0005-0000-0000-00003B0E0000}"/>
    <cellStyle name="Normal 12 3 5 2 2" xfId="8054" xr:uid="{00000000-0005-0000-0000-00003C0E0000}"/>
    <cellStyle name="Normal 12 3 5 2 2 2" xfId="24989" xr:uid="{68B201B4-4E44-477E-A48B-AA13D8934F94}"/>
    <cellStyle name="Normal 12 3 5 2 2 3" xfId="16548" xr:uid="{E3A5508A-FB51-44E6-B044-7ABAF3F20EED}"/>
    <cellStyle name="Normal 12 3 5 2 3" xfId="20771" xr:uid="{70CED904-8A8C-4C4C-A38F-67EA0EA5AEFA}"/>
    <cellStyle name="Normal 12 3 5 2 4" xfId="12329" xr:uid="{9B048A98-CD71-42F3-94C2-03EF99D2FE66}"/>
    <cellStyle name="Normal 12 3 5 3" xfId="5909" xr:uid="{00000000-0005-0000-0000-00003D0E0000}"/>
    <cellStyle name="Normal 12 3 5 3 2" xfId="22844" xr:uid="{9688498B-3AA0-49AB-B864-4C19229AF532}"/>
    <cellStyle name="Normal 12 3 5 3 3" xfId="14403" xr:uid="{B52D86EF-D769-4C9B-870C-C4F437A7C6CC}"/>
    <cellStyle name="Normal 12 3 5 4" xfId="18626" xr:uid="{CEB06099-503E-481D-819A-822CAD289E65}"/>
    <cellStyle name="Normal 12 3 5 5" xfId="10152" xr:uid="{17D59B74-C705-448B-AFCC-DD166713AF1C}"/>
    <cellStyle name="Normal 12 3 6" xfId="2016" xr:uid="{00000000-0005-0000-0000-00003E0E0000}"/>
    <cellStyle name="Normal 12 3 6 2" xfId="4245" xr:uid="{00000000-0005-0000-0000-00003F0E0000}"/>
    <cellStyle name="Normal 12 3 6 2 2" xfId="8467" xr:uid="{00000000-0005-0000-0000-0000400E0000}"/>
    <cellStyle name="Normal 12 3 6 2 2 2" xfId="25402" xr:uid="{80441C99-A896-4D0C-BA18-F84DA39E8E92}"/>
    <cellStyle name="Normal 12 3 6 2 2 3" xfId="16961" xr:uid="{0AD91901-D51C-45EF-AA5A-D8AF3CD0FF9D}"/>
    <cellStyle name="Normal 12 3 6 2 3" xfId="21184" xr:uid="{9BF26B7E-EDA0-4243-B06B-9467FE26828A}"/>
    <cellStyle name="Normal 12 3 6 2 4" xfId="12742" xr:uid="{C69428A7-16ED-4D38-8FF6-277B3569B0E7}"/>
    <cellStyle name="Normal 12 3 6 3" xfId="6322" xr:uid="{00000000-0005-0000-0000-0000410E0000}"/>
    <cellStyle name="Normal 12 3 6 3 2" xfId="23257" xr:uid="{F633B9E9-6F48-4F3A-A60F-2CCDADDC3135}"/>
    <cellStyle name="Normal 12 3 6 3 3" xfId="14816" xr:uid="{E17B2898-0E0C-48EE-B535-472F19EE8228}"/>
    <cellStyle name="Normal 12 3 6 4" xfId="19039" xr:uid="{2809E514-2DB7-4EF0-AD6D-58FD979711D4}"/>
    <cellStyle name="Normal 12 3 6 5" xfId="10565" xr:uid="{E2E4DAED-B974-429B-B6A9-67AEAB3F64E4}"/>
    <cellStyle name="Normal 12 3 7" xfId="2452" xr:uid="{00000000-0005-0000-0000-0000420E0000}"/>
    <cellStyle name="Normal 12 3 7 2" xfId="6735" xr:uid="{00000000-0005-0000-0000-0000430E0000}"/>
    <cellStyle name="Normal 12 3 7 2 2" xfId="23670" xr:uid="{0DA2A3DB-551B-4D91-9D99-E5AF5AF5FF5A}"/>
    <cellStyle name="Normal 12 3 7 2 3" xfId="15229" xr:uid="{63E595A8-5F96-4B35-8487-63130F65216B}"/>
    <cellStyle name="Normal 12 3 7 3" xfId="19452" xr:uid="{83746828-BA2B-4310-B953-EF2164B45CC6}"/>
    <cellStyle name="Normal 12 3 7 4" xfId="11000" xr:uid="{C52A15C9-27DF-41C4-B316-8E5A73E52B3C}"/>
    <cellStyle name="Normal 12 3 8" xfId="4669" xr:uid="{00000000-0005-0000-0000-0000440E0000}"/>
    <cellStyle name="Normal 12 3 8 2" xfId="21604" xr:uid="{194F296E-708E-4530-9177-667F02ECE852}"/>
    <cellStyle name="Normal 12 3 8 3" xfId="13163" xr:uid="{708D6B37-8C6E-4922-90EF-603ABF89AE79}"/>
    <cellStyle name="Normal 12 3 9" xfId="17386" xr:uid="{1489A4A9-B5B8-49EE-ADE0-F2A9801FE56E}"/>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24165" xr:uid="{C05540DB-DA6A-4921-B324-3503458669BE}"/>
    <cellStyle name="Normal 12 4 2 2 2 3" xfId="15724" xr:uid="{0C02743D-FD45-4DC7-9E74-60C316D0DD26}"/>
    <cellStyle name="Normal 12 4 2 2 3" xfId="19947" xr:uid="{C2AFF504-E338-4D45-9CF6-F1D423873839}"/>
    <cellStyle name="Normal 12 4 2 2 4" xfId="11505" xr:uid="{EBE12C1E-6463-4669-9813-80137DB8A9E3}"/>
    <cellStyle name="Normal 12 4 2 3" xfId="5085" xr:uid="{00000000-0005-0000-0000-0000490E0000}"/>
    <cellStyle name="Normal 12 4 2 3 2" xfId="22020" xr:uid="{0D0C395B-1F0B-4011-82F0-D7F02B56078F}"/>
    <cellStyle name="Normal 12 4 2 3 3" xfId="13579" xr:uid="{4255CA03-D6F6-41FA-AA3C-F009A25D4EF2}"/>
    <cellStyle name="Normal 12 4 2 4" xfId="17802" xr:uid="{8F360D0F-44A8-46B2-8361-D1B5592819E8}"/>
    <cellStyle name="Normal 12 4 2 5" xfId="9328" xr:uid="{292B67DB-C3FD-4A94-AB6C-12AEA8AD6787}"/>
    <cellStyle name="Normal 12 4 3" xfId="1190" xr:uid="{00000000-0005-0000-0000-00004A0E0000}"/>
    <cellStyle name="Normal 12 4 3 2" xfId="3421" xr:uid="{00000000-0005-0000-0000-00004B0E0000}"/>
    <cellStyle name="Normal 12 4 3 2 2" xfId="7643" xr:uid="{00000000-0005-0000-0000-00004C0E0000}"/>
    <cellStyle name="Normal 12 4 3 2 2 2" xfId="24578" xr:uid="{98E1FEA3-3EDB-40F9-A702-57322D3F18AB}"/>
    <cellStyle name="Normal 12 4 3 2 2 3" xfId="16137" xr:uid="{90B89C8B-7F5E-4D7E-A08A-5A4670F8D3D7}"/>
    <cellStyle name="Normal 12 4 3 2 3" xfId="20360" xr:uid="{BF9AAC7C-AB62-4DF8-8EA0-950498AA7FCC}"/>
    <cellStyle name="Normal 12 4 3 2 4" xfId="11918" xr:uid="{986CC90F-B66A-422D-B094-49D5BEA2889B}"/>
    <cellStyle name="Normal 12 4 3 3" xfId="5498" xr:uid="{00000000-0005-0000-0000-00004D0E0000}"/>
    <cellStyle name="Normal 12 4 3 3 2" xfId="22433" xr:uid="{A5BCE5AA-6C8C-4FB8-9D4B-797A09A9F548}"/>
    <cellStyle name="Normal 12 4 3 3 3" xfId="13992" xr:uid="{FA92B5AF-0ADD-4839-B7CE-30BF0926AC70}"/>
    <cellStyle name="Normal 12 4 3 4" xfId="18215" xr:uid="{F3447DBE-D26B-4FD6-9B30-DE9B84285822}"/>
    <cellStyle name="Normal 12 4 3 5" xfId="9741" xr:uid="{5A9CD699-B9D8-4093-9BC5-FC2E81D04679}"/>
    <cellStyle name="Normal 12 4 4" xfId="1604" xr:uid="{00000000-0005-0000-0000-00004E0E0000}"/>
    <cellStyle name="Normal 12 4 4 2" xfId="3834" xr:uid="{00000000-0005-0000-0000-00004F0E0000}"/>
    <cellStyle name="Normal 12 4 4 2 2" xfId="8056" xr:uid="{00000000-0005-0000-0000-0000500E0000}"/>
    <cellStyle name="Normal 12 4 4 2 2 2" xfId="24991" xr:uid="{B12F082B-BD36-415B-B080-67DF909D0A90}"/>
    <cellStyle name="Normal 12 4 4 2 2 3" xfId="16550" xr:uid="{579D2E62-F1A1-4B91-9FC2-2A1223CD9A58}"/>
    <cellStyle name="Normal 12 4 4 2 3" xfId="20773" xr:uid="{DADDEA84-2564-418B-9752-C86A2BF7B40B}"/>
    <cellStyle name="Normal 12 4 4 2 4" xfId="12331" xr:uid="{C1B7766E-2BE3-4A4D-96E5-89D38BAACFA1}"/>
    <cellStyle name="Normal 12 4 4 3" xfId="5911" xr:uid="{00000000-0005-0000-0000-0000510E0000}"/>
    <cellStyle name="Normal 12 4 4 3 2" xfId="22846" xr:uid="{69A172DA-82D4-4184-B020-DF37099346AD}"/>
    <cellStyle name="Normal 12 4 4 3 3" xfId="14405" xr:uid="{76D30DA0-B117-4F44-BC5D-90A969D5765F}"/>
    <cellStyle name="Normal 12 4 4 4" xfId="18628" xr:uid="{A0C2F032-4F93-4C1C-80B8-872C753D77BC}"/>
    <cellStyle name="Normal 12 4 4 5" xfId="10154" xr:uid="{F942C46B-0737-4167-8553-E1BF603731DD}"/>
    <cellStyle name="Normal 12 4 5" xfId="2018" xr:uid="{00000000-0005-0000-0000-0000520E0000}"/>
    <cellStyle name="Normal 12 4 5 2" xfId="4247" xr:uid="{00000000-0005-0000-0000-0000530E0000}"/>
    <cellStyle name="Normal 12 4 5 2 2" xfId="8469" xr:uid="{00000000-0005-0000-0000-0000540E0000}"/>
    <cellStyle name="Normal 12 4 5 2 2 2" xfId="25404" xr:uid="{334BE5B8-3841-4748-878F-3B7274EB19E8}"/>
    <cellStyle name="Normal 12 4 5 2 2 3" xfId="16963" xr:uid="{01BD5150-4295-4706-AF59-26031B0016BF}"/>
    <cellStyle name="Normal 12 4 5 2 3" xfId="21186" xr:uid="{82608F28-D82E-4223-B255-601622022DC9}"/>
    <cellStyle name="Normal 12 4 5 2 4" xfId="12744" xr:uid="{5DF55A25-8C61-42BE-BF72-5313AAA55E5C}"/>
    <cellStyle name="Normal 12 4 5 3" xfId="6324" xr:uid="{00000000-0005-0000-0000-0000550E0000}"/>
    <cellStyle name="Normal 12 4 5 3 2" xfId="23259" xr:uid="{28D4A4B5-FA3D-45ED-AA49-2F7F1219F405}"/>
    <cellStyle name="Normal 12 4 5 3 3" xfId="14818" xr:uid="{7874B1E5-5C34-487D-AE42-5979E2F104BE}"/>
    <cellStyle name="Normal 12 4 5 4" xfId="19041" xr:uid="{42B1548D-EA23-4D73-9A74-313D78C197DC}"/>
    <cellStyle name="Normal 12 4 5 5" xfId="10567" xr:uid="{1465A3A8-BC6E-4637-9848-D6E5A8314A6C}"/>
    <cellStyle name="Normal 12 4 6" xfId="2454" xr:uid="{00000000-0005-0000-0000-0000560E0000}"/>
    <cellStyle name="Normal 12 4 6 2" xfId="6737" xr:uid="{00000000-0005-0000-0000-0000570E0000}"/>
    <cellStyle name="Normal 12 4 6 2 2" xfId="23672" xr:uid="{F6835F17-0A10-4A35-A7FB-916F68E6D207}"/>
    <cellStyle name="Normal 12 4 6 2 3" xfId="15231" xr:uid="{BF74FC7D-3BAE-4ED9-A6D4-58076447913D}"/>
    <cellStyle name="Normal 12 4 6 3" xfId="19454" xr:uid="{3EDC9792-4F7E-4407-8D2A-B18F9BC3CF7E}"/>
    <cellStyle name="Normal 12 4 6 4" xfId="11002" xr:uid="{656122D1-0D17-4111-8F70-E07CB2F7C009}"/>
    <cellStyle name="Normal 12 4 7" xfId="4671" xr:uid="{00000000-0005-0000-0000-0000580E0000}"/>
    <cellStyle name="Normal 12 4 7 2" xfId="21606" xr:uid="{424EF853-776D-4345-8DDC-91610103E46F}"/>
    <cellStyle name="Normal 12 4 7 3" xfId="13165" xr:uid="{777BE727-E474-42FA-B24C-443F602E752E}"/>
    <cellStyle name="Normal 12 4 8" xfId="17388" xr:uid="{D0A335C2-ACD7-4E4C-ACB4-4DE39EFA157A}"/>
    <cellStyle name="Normal 12 4 9" xfId="8913" xr:uid="{85FA632E-510F-4E4C-A61C-916DDA575498}"/>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24158" xr:uid="{DC0D12C9-1DAB-40CE-8C0B-7335B3055EDD}"/>
    <cellStyle name="Normal 12 6 2 2 3" xfId="15717" xr:uid="{9F2A7216-D354-49BF-8C42-FCF0A954BEC8}"/>
    <cellStyle name="Normal 12 6 2 3" xfId="19940" xr:uid="{8000C773-DA71-411B-95F5-E352ACAFB91C}"/>
    <cellStyle name="Normal 12 6 2 4" xfId="11498" xr:uid="{2EF07950-022C-4880-97CA-93123648E980}"/>
    <cellStyle name="Normal 12 6 3" xfId="5078" xr:uid="{00000000-0005-0000-0000-00005D0E0000}"/>
    <cellStyle name="Normal 12 6 3 2" xfId="22013" xr:uid="{D0C755B7-0B5A-4800-A7AC-AC25AC894644}"/>
    <cellStyle name="Normal 12 6 3 3" xfId="13572" xr:uid="{7D043D60-BC32-420A-924B-BDD979FE7DAE}"/>
    <cellStyle name="Normal 12 6 4" xfId="17795" xr:uid="{B881DC6E-2160-4CA6-84AC-5D2F0806CB7B}"/>
    <cellStyle name="Normal 12 6 5" xfId="9321" xr:uid="{A6AB2006-5C82-4A03-9E3D-8F5EF5C8BA80}"/>
    <cellStyle name="Normal 12 7" xfId="1183" xr:uid="{00000000-0005-0000-0000-00005E0E0000}"/>
    <cellStyle name="Normal 12 7 2" xfId="3414" xr:uid="{00000000-0005-0000-0000-00005F0E0000}"/>
    <cellStyle name="Normal 12 7 2 2" xfId="7636" xr:uid="{00000000-0005-0000-0000-0000600E0000}"/>
    <cellStyle name="Normal 12 7 2 2 2" xfId="24571" xr:uid="{0C9159F7-B041-4FC2-9961-D4A5FD99433D}"/>
    <cellStyle name="Normal 12 7 2 2 3" xfId="16130" xr:uid="{1AF46727-72C1-48AF-9C4C-E8B22465D2F7}"/>
    <cellStyle name="Normal 12 7 2 3" xfId="20353" xr:uid="{A34B3326-0FBB-402B-9926-1057DF567D69}"/>
    <cellStyle name="Normal 12 7 2 4" xfId="11911" xr:uid="{5A8284CC-1337-4A00-AC15-E822F029B2D0}"/>
    <cellStyle name="Normal 12 7 3" xfId="5491" xr:uid="{00000000-0005-0000-0000-0000610E0000}"/>
    <cellStyle name="Normal 12 7 3 2" xfId="22426" xr:uid="{695E9157-C4DC-46B6-B78E-A5D700ECD756}"/>
    <cellStyle name="Normal 12 7 3 3" xfId="13985" xr:uid="{94BFC760-EBC9-41EB-80C2-612AB476496C}"/>
    <cellStyle name="Normal 12 7 4" xfId="18208" xr:uid="{29ACF5CB-B80F-41D7-8736-E6C0C292F8A9}"/>
    <cellStyle name="Normal 12 7 5" xfId="9734" xr:uid="{8B25002C-41B0-4BDC-9CCB-7CD6FC75B47C}"/>
    <cellStyle name="Normal 12 8" xfId="1597" xr:uid="{00000000-0005-0000-0000-0000620E0000}"/>
    <cellStyle name="Normal 12 8 2" xfId="3827" xr:uid="{00000000-0005-0000-0000-0000630E0000}"/>
    <cellStyle name="Normal 12 8 2 2" xfId="8049" xr:uid="{00000000-0005-0000-0000-0000640E0000}"/>
    <cellStyle name="Normal 12 8 2 2 2" xfId="24984" xr:uid="{11FF8B18-7642-4DB1-BF34-5D253F566659}"/>
    <cellStyle name="Normal 12 8 2 2 3" xfId="16543" xr:uid="{A8BF75B1-6EDE-49F9-B92E-047A7C653230}"/>
    <cellStyle name="Normal 12 8 2 3" xfId="20766" xr:uid="{52B38BE9-5236-4A9E-94F3-8006D2055ACD}"/>
    <cellStyle name="Normal 12 8 2 4" xfId="12324" xr:uid="{D6547BE6-B5BC-414D-9582-1C6184BC1AE5}"/>
    <cellStyle name="Normal 12 8 3" xfId="5904" xr:uid="{00000000-0005-0000-0000-0000650E0000}"/>
    <cellStyle name="Normal 12 8 3 2" xfId="22839" xr:uid="{CEFB3A16-5FAE-424F-92FF-6A36F1E9D4CA}"/>
    <cellStyle name="Normal 12 8 3 3" xfId="14398" xr:uid="{9D46F309-0018-4D02-8FED-4E474FF5F9E2}"/>
    <cellStyle name="Normal 12 8 4" xfId="18621" xr:uid="{A1411670-7DE2-454C-9283-CD14EDFF673F}"/>
    <cellStyle name="Normal 12 8 5" xfId="10147" xr:uid="{61EBDE38-6F7A-4A15-BAEC-A26C60986B5F}"/>
    <cellStyle name="Normal 12 9" xfId="2011" xr:uid="{00000000-0005-0000-0000-0000660E0000}"/>
    <cellStyle name="Normal 12 9 2" xfId="4240" xr:uid="{00000000-0005-0000-0000-0000670E0000}"/>
    <cellStyle name="Normal 12 9 2 2" xfId="8462" xr:uid="{00000000-0005-0000-0000-0000680E0000}"/>
    <cellStyle name="Normal 12 9 2 2 2" xfId="25397" xr:uid="{364F8D48-F6F8-48F6-B031-BE679AAE410D}"/>
    <cellStyle name="Normal 12 9 2 2 3" xfId="16956" xr:uid="{B9985847-E70C-4D13-AFEB-204CC5C5DA1A}"/>
    <cellStyle name="Normal 12 9 2 3" xfId="21179" xr:uid="{C6A9ED52-AF52-4750-816A-3C236079CD42}"/>
    <cellStyle name="Normal 12 9 2 4" xfId="12737" xr:uid="{C6338FD7-8392-45AE-9D31-F47A094098D3}"/>
    <cellStyle name="Normal 12 9 3" xfId="6317" xr:uid="{00000000-0005-0000-0000-0000690E0000}"/>
    <cellStyle name="Normal 12 9 3 2" xfId="23252" xr:uid="{EBE7622B-8C27-419D-815B-455EDA6C65E1}"/>
    <cellStyle name="Normal 12 9 3 3" xfId="14811" xr:uid="{9ECDD322-260E-4B9B-987D-986C05FE85CC}"/>
    <cellStyle name="Normal 12 9 4" xfId="19034" xr:uid="{137EB20D-37DF-49F8-91AB-075C50163CF0}"/>
    <cellStyle name="Normal 12 9 5" xfId="10560" xr:uid="{B7D32AF8-C552-496C-940A-4954422AE40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24166" xr:uid="{BCCFD3B8-BAB9-499A-A3E5-B4BE31767538}"/>
    <cellStyle name="Normal 14 2 2 2 3" xfId="15725" xr:uid="{AA2143E2-36A8-4F8F-A248-17C76C490F29}"/>
    <cellStyle name="Normal 14 2 2 3" xfId="19948" xr:uid="{AA577564-A92B-45B9-AFBA-6A9B30505C30}"/>
    <cellStyle name="Normal 14 2 2 4" xfId="11506" xr:uid="{61CD7D31-2D63-4E2E-A9FF-FEA42A4DA686}"/>
    <cellStyle name="Normal 14 2 3" xfId="5086" xr:uid="{00000000-0005-0000-0000-0000700E0000}"/>
    <cellStyle name="Normal 14 2 3 2" xfId="22021" xr:uid="{CE7B491B-7AEA-445A-A3EF-3C64E14C42DC}"/>
    <cellStyle name="Normal 14 2 3 3" xfId="13580" xr:uid="{48D7AA10-22D9-462E-8FDB-41ECD8874A0D}"/>
    <cellStyle name="Normal 14 2 4" xfId="17803" xr:uid="{005A3F9F-CC60-4E31-A32F-3780171407ED}"/>
    <cellStyle name="Normal 14 2 5" xfId="9329" xr:uid="{92B0AB8C-182B-494B-8378-A7E92E444C68}"/>
    <cellStyle name="Normal 14 3" xfId="1191" xr:uid="{00000000-0005-0000-0000-0000710E0000}"/>
    <cellStyle name="Normal 14 3 2" xfId="3422" xr:uid="{00000000-0005-0000-0000-0000720E0000}"/>
    <cellStyle name="Normal 14 3 2 2" xfId="7644" xr:uid="{00000000-0005-0000-0000-0000730E0000}"/>
    <cellStyle name="Normal 14 3 2 2 2" xfId="24579" xr:uid="{8447D6B5-8D39-4F36-8B19-E374FD718A86}"/>
    <cellStyle name="Normal 14 3 2 2 3" xfId="16138" xr:uid="{347C8F55-A435-48A4-A28E-BFC653C292EE}"/>
    <cellStyle name="Normal 14 3 2 3" xfId="20361" xr:uid="{FAF145C9-D36E-467F-BA63-B49E3CD58019}"/>
    <cellStyle name="Normal 14 3 2 4" xfId="11919" xr:uid="{3F073000-B0FD-4502-BBB8-06911ADED237}"/>
    <cellStyle name="Normal 14 3 3" xfId="5499" xr:uid="{00000000-0005-0000-0000-0000740E0000}"/>
    <cellStyle name="Normal 14 3 3 2" xfId="22434" xr:uid="{56278224-6FA3-45BD-8FDE-07051012F937}"/>
    <cellStyle name="Normal 14 3 3 3" xfId="13993" xr:uid="{CBEEDFB3-1C54-4C59-8FB2-3066B529DCC1}"/>
    <cellStyle name="Normal 14 3 4" xfId="18216" xr:uid="{C8D3F03D-1BE0-4359-B743-8451984A9A9E}"/>
    <cellStyle name="Normal 14 3 5" xfId="9742" xr:uid="{A89D58CC-F3F2-4816-8DB6-2724588BD8BB}"/>
    <cellStyle name="Normal 14 4" xfId="1605" xr:uid="{00000000-0005-0000-0000-0000750E0000}"/>
    <cellStyle name="Normal 14 4 2" xfId="3835" xr:uid="{00000000-0005-0000-0000-0000760E0000}"/>
    <cellStyle name="Normal 14 4 2 2" xfId="8057" xr:uid="{00000000-0005-0000-0000-0000770E0000}"/>
    <cellStyle name="Normal 14 4 2 2 2" xfId="24992" xr:uid="{1045EF0A-FC63-46BB-9B66-92DECABE7D82}"/>
    <cellStyle name="Normal 14 4 2 2 3" xfId="16551" xr:uid="{6A0C7392-94B7-447D-8228-1F368B5FC326}"/>
    <cellStyle name="Normal 14 4 2 3" xfId="20774" xr:uid="{B9D0ED8F-C408-4288-899B-FF85729AE32C}"/>
    <cellStyle name="Normal 14 4 2 4" xfId="12332" xr:uid="{F764BD3D-7981-4E30-817C-79C1E645F9F1}"/>
    <cellStyle name="Normal 14 4 3" xfId="5912" xr:uid="{00000000-0005-0000-0000-0000780E0000}"/>
    <cellStyle name="Normal 14 4 3 2" xfId="22847" xr:uid="{1866331C-B5EE-408B-922B-00A4304FDE55}"/>
    <cellStyle name="Normal 14 4 3 3" xfId="14406" xr:uid="{45809801-5343-493B-8A54-5665B25131FA}"/>
    <cellStyle name="Normal 14 4 4" xfId="18629" xr:uid="{1D69AD5E-CB04-44A0-A51B-E75BCBC8CF27}"/>
    <cellStyle name="Normal 14 4 5" xfId="10155" xr:uid="{655C35D5-E291-4A72-8193-F0E218105FE4}"/>
    <cellStyle name="Normal 14 5" xfId="2019" xr:uid="{00000000-0005-0000-0000-0000790E0000}"/>
    <cellStyle name="Normal 14 5 2" xfId="4248" xr:uid="{00000000-0005-0000-0000-00007A0E0000}"/>
    <cellStyle name="Normal 14 5 2 2" xfId="8470" xr:uid="{00000000-0005-0000-0000-00007B0E0000}"/>
    <cellStyle name="Normal 14 5 2 2 2" xfId="25405" xr:uid="{CB2B7070-B1B0-47C4-9526-C8121970CC52}"/>
    <cellStyle name="Normal 14 5 2 2 3" xfId="16964" xr:uid="{136FF8F9-ECA8-43B7-82CC-F63ADBD4E143}"/>
    <cellStyle name="Normal 14 5 2 3" xfId="21187" xr:uid="{E4A33663-9EA4-42B3-A07A-B84AFB516EB8}"/>
    <cellStyle name="Normal 14 5 2 4" xfId="12745" xr:uid="{E620A89A-F9A5-4910-8AEF-DF626AE045AE}"/>
    <cellStyle name="Normal 14 5 3" xfId="6325" xr:uid="{00000000-0005-0000-0000-00007C0E0000}"/>
    <cellStyle name="Normal 14 5 3 2" xfId="23260" xr:uid="{FCC3F323-E644-4A4E-B13A-FA7A479EC20D}"/>
    <cellStyle name="Normal 14 5 3 3" xfId="14819" xr:uid="{72DF95AE-42DD-4D15-AEE8-B58271035EE1}"/>
    <cellStyle name="Normal 14 5 4" xfId="19042" xr:uid="{9622A538-A982-41D8-8826-D82A0FB37C45}"/>
    <cellStyle name="Normal 14 5 5" xfId="10568" xr:uid="{8F308FD2-EB1D-48AA-B4D8-82A08F5D03E9}"/>
    <cellStyle name="Normal 14 6" xfId="2455" xr:uid="{00000000-0005-0000-0000-00007D0E0000}"/>
    <cellStyle name="Normal 14 6 2" xfId="6738" xr:uid="{00000000-0005-0000-0000-00007E0E0000}"/>
    <cellStyle name="Normal 14 6 2 2" xfId="23673" xr:uid="{DF93C8D4-9073-422A-95A7-DBFB772E300E}"/>
    <cellStyle name="Normal 14 6 2 3" xfId="15232" xr:uid="{E80A7184-5B75-4D72-8201-3BAEC179E0B3}"/>
    <cellStyle name="Normal 14 6 3" xfId="19455" xr:uid="{839BD5EC-1BA0-45A5-94FB-39D9ED32687D}"/>
    <cellStyle name="Normal 14 6 4" xfId="11003" xr:uid="{9B4DA41E-DF02-4B36-ACF2-8A905EB7DFEB}"/>
    <cellStyle name="Normal 14 7" xfId="4672" xr:uid="{00000000-0005-0000-0000-00007F0E0000}"/>
    <cellStyle name="Normal 14 7 2" xfId="21607" xr:uid="{DA12FAC8-B54B-45CA-8AC5-80866503EE78}"/>
    <cellStyle name="Normal 14 7 3" xfId="13166" xr:uid="{F55505BE-414A-405A-AEAC-8C94CCE79904}"/>
    <cellStyle name="Normal 14 8" xfId="17389" xr:uid="{5D74ACBF-8266-4FBB-8E2F-BA47E16E4CDA}"/>
    <cellStyle name="Normal 14 9" xfId="8914" xr:uid="{F8C0882B-E3EA-42EE-BB69-791C54826292}"/>
    <cellStyle name="Normal 15" xfId="4496" xr:uid="{00000000-0005-0000-0000-0000800E0000}"/>
    <cellStyle name="Normal 15 2" xfId="21433" xr:uid="{A0596F1D-F7FB-4701-B6FE-1F1BB8074C4B}"/>
    <cellStyle name="Normal 15 3" xfId="12991" xr:uid="{42BDFA20-5A80-41A6-9EB7-410145591EC6}"/>
    <cellStyle name="Normal 16" xfId="4500" xr:uid="{00000000-0005-0000-0000-0000810E0000}"/>
    <cellStyle name="Normal 16 2" xfId="8715" xr:uid="{00000000-0005-0000-0000-0000820E0000}"/>
    <cellStyle name="Normal 16 2 2" xfId="25650" xr:uid="{10CE29E8-8720-4E01-BD77-4D69E0B00EC3}"/>
    <cellStyle name="Normal 16 2 3" xfId="17209" xr:uid="{B36B3348-3510-48E1-BB17-FA176F117884}"/>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3" xfId="25659" xr:uid="{14B2B678-CEE1-42F3-879D-5D9D7D7DA021}"/>
    <cellStyle name="Normal 16 3 2 2 3" xfId="17218" xr:uid="{F50EA691-D8BA-49DD-80BB-DC68857D82F8}"/>
    <cellStyle name="Normal 16 3 2 3" xfId="25656" xr:uid="{4B238631-82D3-4023-BBEC-00F78FF0F5F9}"/>
    <cellStyle name="Normal 16 3 2 4" xfId="17215" xr:uid="{84E467A6-2698-4F07-9290-B3D30298384B}"/>
    <cellStyle name="Normal 16 3 3" xfId="25653" xr:uid="{F0229539-92CF-4497-B8B7-66BC017BDFB0}"/>
    <cellStyle name="Normal 16 3 4" xfId="17212" xr:uid="{98AE3E32-5028-4DCC-987D-1DAFBD65430E}"/>
    <cellStyle name="Normal 16 4" xfId="21436" xr:uid="{53B7B1AA-CF24-4B4F-9D26-C9DB7EFF6F58}"/>
    <cellStyle name="Normal 16 5" xfId="12994" xr:uid="{B0493A27-8BAA-45B4-97CA-E931766A56B4}"/>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5406" xr:uid="{D9F8F163-567C-43B2-844D-11FFDB166D48}"/>
    <cellStyle name="Normal 2 4 2 10 2 2 3" xfId="16965" xr:uid="{B1664D4D-E5EE-4B45-82DC-736BB37DDCB1}"/>
    <cellStyle name="Normal 2 4 2 10 2 3" xfId="21188" xr:uid="{836EEBD6-D272-425E-BFE6-30A6DE3C3E31}"/>
    <cellStyle name="Normal 2 4 2 10 2 4" xfId="12746" xr:uid="{514B3051-87C6-4289-89F2-AC4C0747F207}"/>
    <cellStyle name="Normal 2 4 2 10 3" xfId="6326" xr:uid="{00000000-0005-0000-0000-0000910E0000}"/>
    <cellStyle name="Normal 2 4 2 10 3 2" xfId="23261" xr:uid="{7DE96AE9-8008-4CEA-8290-77FC13A9FE74}"/>
    <cellStyle name="Normal 2 4 2 10 3 3" xfId="14820" xr:uid="{DF406753-C69E-4C32-8868-A683894579F2}"/>
    <cellStyle name="Normal 2 4 2 10 4" xfId="19043" xr:uid="{61694E6D-AA4D-4C44-A116-DA4EB9B2CE19}"/>
    <cellStyle name="Normal 2 4 2 10 5" xfId="10569" xr:uid="{99B1EBD3-6312-4A3D-8F0D-C4F5F591214B}"/>
    <cellStyle name="Normal 2 4 2 11" xfId="2456" xr:uid="{00000000-0005-0000-0000-0000920E0000}"/>
    <cellStyle name="Normal 2 4 2 11 2" xfId="6739" xr:uid="{00000000-0005-0000-0000-0000930E0000}"/>
    <cellStyle name="Normal 2 4 2 11 2 2" xfId="23674" xr:uid="{626A05D2-AC26-4FD5-B86A-1E12DE4BDE1B}"/>
    <cellStyle name="Normal 2 4 2 11 2 3" xfId="15233" xr:uid="{F854673F-0309-4ECA-BED9-5FFF051A1B8B}"/>
    <cellStyle name="Normal 2 4 2 11 3" xfId="19456" xr:uid="{757FC103-3A0F-4D5C-9306-7531F80DF7DE}"/>
    <cellStyle name="Normal 2 4 2 11 4" xfId="11004" xr:uid="{CE5982D0-3A4F-414F-8E2C-DFC6DA3859FF}"/>
    <cellStyle name="Normal 2 4 2 12" xfId="4673" xr:uid="{00000000-0005-0000-0000-0000940E0000}"/>
    <cellStyle name="Normal 2 4 2 12 2" xfId="21608" xr:uid="{7A42EF58-0911-4B7F-B51A-AEABFF3111A7}"/>
    <cellStyle name="Normal 2 4 2 12 3" xfId="13167" xr:uid="{A7F665D3-DD5F-4AB1-8A93-72714AD7EB78}"/>
    <cellStyle name="Normal 2 4 2 13" xfId="17390" xr:uid="{ABE23F1C-EB8B-40C5-85AB-D6885B059EA6}"/>
    <cellStyle name="Normal 2 4 2 14" xfId="8915" xr:uid="{05CDD4DC-AB21-430B-BD04-4FDB62304B6D}"/>
    <cellStyle name="Normal 2 4 2 2" xfId="280" xr:uid="{00000000-0005-0000-0000-0000950E0000}"/>
    <cellStyle name="Normal 2 4 2 3" xfId="281" xr:uid="{00000000-0005-0000-0000-0000960E0000}"/>
    <cellStyle name="Normal 2 4 2 3 10" xfId="4674" xr:uid="{00000000-0005-0000-0000-0000970E0000}"/>
    <cellStyle name="Normal 2 4 2 3 10 2" xfId="21609" xr:uid="{5172E242-EE9E-483E-99D4-5EBCB887ED56}"/>
    <cellStyle name="Normal 2 4 2 3 10 3" xfId="13168" xr:uid="{4D1E8DC9-0C29-4E90-8039-A94897E3491B}"/>
    <cellStyle name="Normal 2 4 2 3 11" xfId="17391" xr:uid="{16C64F59-148D-40FD-8904-79FF5D0BDAF0}"/>
    <cellStyle name="Normal 2 4 2 3 12" xfId="8916" xr:uid="{E7E47F68-C88E-44A0-BC7D-89CEEDED8715}"/>
    <cellStyle name="Normal 2 4 2 3 2" xfId="282" xr:uid="{00000000-0005-0000-0000-0000980E0000}"/>
    <cellStyle name="Normal 2 4 2 3 2 10" xfId="17392" xr:uid="{E6B5D7FB-CF57-4625-928C-A16EA4EA4B8A}"/>
    <cellStyle name="Normal 2 4 2 3 2 11" xfId="8917" xr:uid="{EEEDB734-0A97-4318-AC93-04BD72B2BCB2}"/>
    <cellStyle name="Normal 2 4 2 3 2 2" xfId="283" xr:uid="{00000000-0005-0000-0000-0000990E0000}"/>
    <cellStyle name="Normal 2 4 2 3 2 2 10" xfId="8918" xr:uid="{7946ED53-F6DA-4ED6-9848-43E6B0AE12F1}"/>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4171" xr:uid="{3CF7A487-65B3-4450-BF45-E1BA447300E6}"/>
    <cellStyle name="Normal 2 4 2 3 2 2 2 2 2 2 3" xfId="15730" xr:uid="{C3E5F677-7470-4D2F-AA82-E4896F88D2D5}"/>
    <cellStyle name="Normal 2 4 2 3 2 2 2 2 2 3" xfId="19953" xr:uid="{BDCDE904-6C1A-4F8D-99AF-2281712A21A5}"/>
    <cellStyle name="Normal 2 4 2 3 2 2 2 2 2 4" xfId="11511" xr:uid="{CA509429-3BCA-415F-8B15-759CAF5F0BB4}"/>
    <cellStyle name="Normal 2 4 2 3 2 2 2 2 3" xfId="5091" xr:uid="{00000000-0005-0000-0000-00009E0E0000}"/>
    <cellStyle name="Normal 2 4 2 3 2 2 2 2 3 2" xfId="22026" xr:uid="{5158C931-ACBD-4C27-92F3-63225700A74C}"/>
    <cellStyle name="Normal 2 4 2 3 2 2 2 2 3 3" xfId="13585" xr:uid="{E4283B43-549E-4861-967C-2FC83D103FB0}"/>
    <cellStyle name="Normal 2 4 2 3 2 2 2 2 4" xfId="17808" xr:uid="{8DC39979-44F2-4190-992D-A8378089B650}"/>
    <cellStyle name="Normal 2 4 2 3 2 2 2 2 5" xfId="9334" xr:uid="{04A88063-51E3-43B8-9FB6-0CBDCB4630B8}"/>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4584" xr:uid="{66816E49-9E73-41A1-94AE-C4CD05A61976}"/>
    <cellStyle name="Normal 2 4 2 3 2 2 2 3 2 2 3" xfId="16143" xr:uid="{78FF3184-F2FF-4774-91CF-ED7D7B43835F}"/>
    <cellStyle name="Normal 2 4 2 3 2 2 2 3 2 3" xfId="20366" xr:uid="{A74E2A51-0F16-4702-89F1-FD5C41C2D332}"/>
    <cellStyle name="Normal 2 4 2 3 2 2 2 3 2 4" xfId="11924" xr:uid="{4964E78C-3ED6-44C2-AC24-3035F4DBEDE4}"/>
    <cellStyle name="Normal 2 4 2 3 2 2 2 3 3" xfId="5504" xr:uid="{00000000-0005-0000-0000-0000A20E0000}"/>
    <cellStyle name="Normal 2 4 2 3 2 2 2 3 3 2" xfId="22439" xr:uid="{01BE639D-6A03-4911-9D39-388E475D4B44}"/>
    <cellStyle name="Normal 2 4 2 3 2 2 2 3 3 3" xfId="13998" xr:uid="{A15D7A75-4303-4395-93C0-36FCFDFA8E63}"/>
    <cellStyle name="Normal 2 4 2 3 2 2 2 3 4" xfId="18221" xr:uid="{BA54DC77-8F0B-4F72-9A35-3C09305DC180}"/>
    <cellStyle name="Normal 2 4 2 3 2 2 2 3 5" xfId="9747" xr:uid="{768E3D44-6718-4975-8656-DE744B0C1649}"/>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4997" xr:uid="{10D1B380-504B-487C-8EC6-8F3A0B2A895C}"/>
    <cellStyle name="Normal 2 4 2 3 2 2 2 4 2 2 3" xfId="16556" xr:uid="{0B311D4A-F25F-4D3C-8CAF-58034011EEC4}"/>
    <cellStyle name="Normal 2 4 2 3 2 2 2 4 2 3" xfId="20779" xr:uid="{D0FBA44F-440A-4473-B3B2-7A1DAC84016B}"/>
    <cellStyle name="Normal 2 4 2 3 2 2 2 4 2 4" xfId="12337" xr:uid="{82BB0631-AE76-4DF1-92F7-FDD24DF32BEA}"/>
    <cellStyle name="Normal 2 4 2 3 2 2 2 4 3" xfId="5917" xr:uid="{00000000-0005-0000-0000-0000A60E0000}"/>
    <cellStyle name="Normal 2 4 2 3 2 2 2 4 3 2" xfId="22852" xr:uid="{D615A001-6E0A-48AC-AD8E-417FD850555A}"/>
    <cellStyle name="Normal 2 4 2 3 2 2 2 4 3 3" xfId="14411" xr:uid="{FB365F39-29A9-49FD-8A06-95D7E6004463}"/>
    <cellStyle name="Normal 2 4 2 3 2 2 2 4 4" xfId="18634" xr:uid="{A8DF7149-2190-4DD9-B67C-34EA8F37204C}"/>
    <cellStyle name="Normal 2 4 2 3 2 2 2 4 5" xfId="10160" xr:uid="{76422050-1895-4E9E-AD81-E9F0BA037EAC}"/>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5410" xr:uid="{ACE579FA-31B1-494E-B044-2BD4DA19AF89}"/>
    <cellStyle name="Normal 2 4 2 3 2 2 2 5 2 2 3" xfId="16969" xr:uid="{3D5F2F36-E1A2-4632-B7D0-E845DD6EC6B0}"/>
    <cellStyle name="Normal 2 4 2 3 2 2 2 5 2 3" xfId="21192" xr:uid="{6D76E9F8-4B0B-4BC9-94DE-6D8CF962455B}"/>
    <cellStyle name="Normal 2 4 2 3 2 2 2 5 2 4" xfId="12750" xr:uid="{A617E26C-B7E4-42E0-A8E3-FD239924A391}"/>
    <cellStyle name="Normal 2 4 2 3 2 2 2 5 3" xfId="6330" xr:uid="{00000000-0005-0000-0000-0000AA0E0000}"/>
    <cellStyle name="Normal 2 4 2 3 2 2 2 5 3 2" xfId="23265" xr:uid="{B5F69E55-FEAB-4CB6-8134-58C187C6E2C4}"/>
    <cellStyle name="Normal 2 4 2 3 2 2 2 5 3 3" xfId="14824" xr:uid="{52C43CF5-BDA9-4D6E-84E1-F7A364F80F50}"/>
    <cellStyle name="Normal 2 4 2 3 2 2 2 5 4" xfId="19047" xr:uid="{04759835-FA4A-4E60-A106-E2ECFDE717DE}"/>
    <cellStyle name="Normal 2 4 2 3 2 2 2 5 5" xfId="10573" xr:uid="{9DA2EF56-A3D7-4C12-8D96-A199E3B25EC7}"/>
    <cellStyle name="Normal 2 4 2 3 2 2 2 6" xfId="2460" xr:uid="{00000000-0005-0000-0000-0000AB0E0000}"/>
    <cellStyle name="Normal 2 4 2 3 2 2 2 6 2" xfId="6743" xr:uid="{00000000-0005-0000-0000-0000AC0E0000}"/>
    <cellStyle name="Normal 2 4 2 3 2 2 2 6 2 2" xfId="23678" xr:uid="{1055D4F6-3012-4090-8AE1-185D4DE9A861}"/>
    <cellStyle name="Normal 2 4 2 3 2 2 2 6 2 3" xfId="15237" xr:uid="{9C387FE1-4F98-4E8A-A4D3-8A3FF4D74781}"/>
    <cellStyle name="Normal 2 4 2 3 2 2 2 6 3" xfId="19460" xr:uid="{E34C3257-747C-411B-B26B-462D9A35C0DF}"/>
    <cellStyle name="Normal 2 4 2 3 2 2 2 6 4" xfId="11008" xr:uid="{E5867483-AFA0-41B6-BE98-7DCF63F44CF9}"/>
    <cellStyle name="Normal 2 4 2 3 2 2 2 7" xfId="4677" xr:uid="{00000000-0005-0000-0000-0000AD0E0000}"/>
    <cellStyle name="Normal 2 4 2 3 2 2 2 7 2" xfId="21612" xr:uid="{731D0DE5-C289-4468-9506-A757796391BE}"/>
    <cellStyle name="Normal 2 4 2 3 2 2 2 7 3" xfId="13171" xr:uid="{65DFD735-CDAC-401E-9BAD-BFAABA3227AE}"/>
    <cellStyle name="Normal 2 4 2 3 2 2 2 8" xfId="17394" xr:uid="{19D2A437-4644-45BA-869B-7D2116982EA3}"/>
    <cellStyle name="Normal 2 4 2 3 2 2 2 9" xfId="8919" xr:uid="{4A521086-2506-46EF-B15F-974B872AE8E1}"/>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4170" xr:uid="{983E99AC-B643-4827-BEB6-E945BF977B87}"/>
    <cellStyle name="Normal 2 4 2 3 2 2 3 2 2 3" xfId="15729" xr:uid="{C21A1F16-4EEB-46C0-8307-7B1F191138AB}"/>
    <cellStyle name="Normal 2 4 2 3 2 2 3 2 3" xfId="19952" xr:uid="{D8BAA417-F53A-487E-905E-BEA5BD9122AD}"/>
    <cellStyle name="Normal 2 4 2 3 2 2 3 2 4" xfId="11510" xr:uid="{EE0FE087-F3FD-4F2D-9C57-E6E4406B3AE5}"/>
    <cellStyle name="Normal 2 4 2 3 2 2 3 3" xfId="5090" xr:uid="{00000000-0005-0000-0000-0000B10E0000}"/>
    <cellStyle name="Normal 2 4 2 3 2 2 3 3 2" xfId="22025" xr:uid="{020EA67A-1E64-4BF6-9D4C-7A83F924C542}"/>
    <cellStyle name="Normal 2 4 2 3 2 2 3 3 3" xfId="13584" xr:uid="{B344BE1E-7808-48DB-953D-5DB135A5E06C}"/>
    <cellStyle name="Normal 2 4 2 3 2 2 3 4" xfId="17807" xr:uid="{EBF3A476-1368-4036-8CC4-9F529B237F5A}"/>
    <cellStyle name="Normal 2 4 2 3 2 2 3 5" xfId="9333" xr:uid="{78403401-469B-4E36-8767-A69A3E9DFDA8}"/>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4583" xr:uid="{4CC1C72E-4A06-4C20-B60F-08E22BE0488E}"/>
    <cellStyle name="Normal 2 4 2 3 2 2 4 2 2 3" xfId="16142" xr:uid="{41093196-7264-4E62-9AF1-2FD07299EFA2}"/>
    <cellStyle name="Normal 2 4 2 3 2 2 4 2 3" xfId="20365" xr:uid="{335A3A88-9988-4EE0-B425-7ABA931EA4F2}"/>
    <cellStyle name="Normal 2 4 2 3 2 2 4 2 4" xfId="11923" xr:uid="{0C4D2A0A-1A59-4E1B-8D1A-DA77EF086920}"/>
    <cellStyle name="Normal 2 4 2 3 2 2 4 3" xfId="5503" xr:uid="{00000000-0005-0000-0000-0000B50E0000}"/>
    <cellStyle name="Normal 2 4 2 3 2 2 4 3 2" xfId="22438" xr:uid="{711EFCB4-38D3-4B35-B7D9-018DE804BA16}"/>
    <cellStyle name="Normal 2 4 2 3 2 2 4 3 3" xfId="13997" xr:uid="{1FA32182-A211-4306-8666-C4A30C1D308E}"/>
    <cellStyle name="Normal 2 4 2 3 2 2 4 4" xfId="18220" xr:uid="{4B13BE1E-3ED2-4E07-995B-B995E1962AD7}"/>
    <cellStyle name="Normal 2 4 2 3 2 2 4 5" xfId="9746" xr:uid="{BE5B5E8A-542A-4B16-9C06-22A860430B9C}"/>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4996" xr:uid="{36293FCC-C402-41DE-9382-8329849F76A5}"/>
    <cellStyle name="Normal 2 4 2 3 2 2 5 2 2 3" xfId="16555" xr:uid="{7D613F55-67BE-4F08-ACDF-0FF6DABDB532}"/>
    <cellStyle name="Normal 2 4 2 3 2 2 5 2 3" xfId="20778" xr:uid="{22F4141E-8F4F-46BF-B878-FED4DEFD19ED}"/>
    <cellStyle name="Normal 2 4 2 3 2 2 5 2 4" xfId="12336" xr:uid="{4ACA6E24-8436-4E2A-93F1-5F6146A1D8A9}"/>
    <cellStyle name="Normal 2 4 2 3 2 2 5 3" xfId="5916" xr:uid="{00000000-0005-0000-0000-0000B90E0000}"/>
    <cellStyle name="Normal 2 4 2 3 2 2 5 3 2" xfId="22851" xr:uid="{E532C01E-B764-4536-BBEC-1AAF985A52B1}"/>
    <cellStyle name="Normal 2 4 2 3 2 2 5 3 3" xfId="14410" xr:uid="{383F4B03-9835-46E8-915E-4A7E224D5BAA}"/>
    <cellStyle name="Normal 2 4 2 3 2 2 5 4" xfId="18633" xr:uid="{775B0226-BBFD-43AE-8F47-758117F44B0D}"/>
    <cellStyle name="Normal 2 4 2 3 2 2 5 5" xfId="10159" xr:uid="{2703DD1D-7F24-481D-AF7B-5F39A4F7C6DB}"/>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5409" xr:uid="{450175DB-498E-4CC1-88BA-E3AB0417335B}"/>
    <cellStyle name="Normal 2 4 2 3 2 2 6 2 2 3" xfId="16968" xr:uid="{3CBB2964-F4F7-4BA3-9AE8-6D2AF4AA88DF}"/>
    <cellStyle name="Normal 2 4 2 3 2 2 6 2 3" xfId="21191" xr:uid="{FC67A199-F576-4356-8657-A884EACE7B0A}"/>
    <cellStyle name="Normal 2 4 2 3 2 2 6 2 4" xfId="12749" xr:uid="{A03BC0F3-7311-4019-9261-AD19D242DE9D}"/>
    <cellStyle name="Normal 2 4 2 3 2 2 6 3" xfId="6329" xr:uid="{00000000-0005-0000-0000-0000BD0E0000}"/>
    <cellStyle name="Normal 2 4 2 3 2 2 6 3 2" xfId="23264" xr:uid="{F90E3040-A8C9-4AE9-9632-A29A07C133DC}"/>
    <cellStyle name="Normal 2 4 2 3 2 2 6 3 3" xfId="14823" xr:uid="{C4966EE3-163F-4640-939B-46C88AD40E55}"/>
    <cellStyle name="Normal 2 4 2 3 2 2 6 4" xfId="19046" xr:uid="{2987EEAF-C03E-4140-B02C-85EAFD9CD31F}"/>
    <cellStyle name="Normal 2 4 2 3 2 2 6 5" xfId="10572" xr:uid="{667FF624-EEC3-4B6E-9397-BDF7D92A9496}"/>
    <cellStyle name="Normal 2 4 2 3 2 2 7" xfId="2459" xr:uid="{00000000-0005-0000-0000-0000BE0E0000}"/>
    <cellStyle name="Normal 2 4 2 3 2 2 7 2" xfId="6742" xr:uid="{00000000-0005-0000-0000-0000BF0E0000}"/>
    <cellStyle name="Normal 2 4 2 3 2 2 7 2 2" xfId="23677" xr:uid="{3D0C08BC-5792-4D4B-AE12-C76D82DFBB8A}"/>
    <cellStyle name="Normal 2 4 2 3 2 2 7 2 3" xfId="15236" xr:uid="{C90686EA-40E1-4DA9-ABF8-FDDB8A04B688}"/>
    <cellStyle name="Normal 2 4 2 3 2 2 7 3" xfId="19459" xr:uid="{DEC07B17-5062-40A2-9FEA-42607D004811}"/>
    <cellStyle name="Normal 2 4 2 3 2 2 7 4" xfId="11007" xr:uid="{0EAB450E-3887-4197-BA00-C808D39CDEDF}"/>
    <cellStyle name="Normal 2 4 2 3 2 2 8" xfId="4676" xr:uid="{00000000-0005-0000-0000-0000C00E0000}"/>
    <cellStyle name="Normal 2 4 2 3 2 2 8 2" xfId="21611" xr:uid="{14BDD764-1327-491F-9084-7246C98235BE}"/>
    <cellStyle name="Normal 2 4 2 3 2 2 8 3" xfId="13170" xr:uid="{C919E9EF-91D7-4F26-AB84-BCD014B4ED32}"/>
    <cellStyle name="Normal 2 4 2 3 2 2 9" xfId="17393" xr:uid="{5A76DC51-811B-44B5-BCD5-F846F16D0BE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4172" xr:uid="{C9637ED6-E93E-4FDE-B60E-A5FD7D3CED91}"/>
    <cellStyle name="Normal 2 4 2 3 2 3 2 2 2 3" xfId="15731" xr:uid="{EAB813CE-C6E0-4223-B174-1979DEB0A9A9}"/>
    <cellStyle name="Normal 2 4 2 3 2 3 2 2 3" xfId="19954" xr:uid="{85AD77EB-7B4E-420F-9F1F-98EB05F83EAA}"/>
    <cellStyle name="Normal 2 4 2 3 2 3 2 2 4" xfId="11512" xr:uid="{E6925EB1-2ADF-4F0A-BEF9-6251355F1581}"/>
    <cellStyle name="Normal 2 4 2 3 2 3 2 3" xfId="5092" xr:uid="{00000000-0005-0000-0000-0000C50E0000}"/>
    <cellStyle name="Normal 2 4 2 3 2 3 2 3 2" xfId="22027" xr:uid="{83A90203-385E-4D04-A697-A837D574B62B}"/>
    <cellStyle name="Normal 2 4 2 3 2 3 2 3 3" xfId="13586" xr:uid="{2482F9EF-7857-44B6-A56C-0605E8F4F1EE}"/>
    <cellStyle name="Normal 2 4 2 3 2 3 2 4" xfId="17809" xr:uid="{25886BD4-3915-4A3C-BF8C-123398BCD702}"/>
    <cellStyle name="Normal 2 4 2 3 2 3 2 5" xfId="9335" xr:uid="{DB11A229-9CE0-49F8-88A7-19006FFC678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4585" xr:uid="{3B621045-8895-421F-A156-0AEF17C65E2B}"/>
    <cellStyle name="Normal 2 4 2 3 2 3 3 2 2 3" xfId="16144" xr:uid="{F992FAA8-4E46-4AD8-9869-9D1BC3119688}"/>
    <cellStyle name="Normal 2 4 2 3 2 3 3 2 3" xfId="20367" xr:uid="{1D1A1070-42D7-41FF-8171-9D58B4653CCA}"/>
    <cellStyle name="Normal 2 4 2 3 2 3 3 2 4" xfId="11925" xr:uid="{5072567A-BEBD-4702-A2D9-938068F9DCE0}"/>
    <cellStyle name="Normal 2 4 2 3 2 3 3 3" xfId="5505" xr:uid="{00000000-0005-0000-0000-0000C90E0000}"/>
    <cellStyle name="Normal 2 4 2 3 2 3 3 3 2" xfId="22440" xr:uid="{B2C0AE76-7739-4B00-9053-10E015D4FA1A}"/>
    <cellStyle name="Normal 2 4 2 3 2 3 3 3 3" xfId="13999" xr:uid="{97B4C7DF-E883-4E86-B6D1-DF4890D961A7}"/>
    <cellStyle name="Normal 2 4 2 3 2 3 3 4" xfId="18222" xr:uid="{5B338E32-C9B8-4329-B432-AD8A6EC38F18}"/>
    <cellStyle name="Normal 2 4 2 3 2 3 3 5" xfId="9748" xr:uid="{0A0403C1-DC2A-4D09-9ACE-FC6BB22D13C5}"/>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4998" xr:uid="{048D4CC1-8FEF-4DE7-8451-A0CB0F96639E}"/>
    <cellStyle name="Normal 2 4 2 3 2 3 4 2 2 3" xfId="16557" xr:uid="{2D53F7C1-6082-4072-9F8D-592E2A831FE0}"/>
    <cellStyle name="Normal 2 4 2 3 2 3 4 2 3" xfId="20780" xr:uid="{C844A6AC-FBC3-4B4E-B85C-B15A226DFBE3}"/>
    <cellStyle name="Normal 2 4 2 3 2 3 4 2 4" xfId="12338" xr:uid="{0B1CD746-E354-4606-B07C-F27B43CCE1E9}"/>
    <cellStyle name="Normal 2 4 2 3 2 3 4 3" xfId="5918" xr:uid="{00000000-0005-0000-0000-0000CD0E0000}"/>
    <cellStyle name="Normal 2 4 2 3 2 3 4 3 2" xfId="22853" xr:uid="{787B0118-6D3D-498A-A4B4-F90CC5C26A2A}"/>
    <cellStyle name="Normal 2 4 2 3 2 3 4 3 3" xfId="14412" xr:uid="{1257C5F5-B316-4E66-8F00-AC4FE72657FB}"/>
    <cellStyle name="Normal 2 4 2 3 2 3 4 4" xfId="18635" xr:uid="{27A327B8-4D5C-49BC-98F8-49CBE02352F2}"/>
    <cellStyle name="Normal 2 4 2 3 2 3 4 5" xfId="10161" xr:uid="{D9A369CE-D1EA-4229-9194-F5A427B28BA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5411" xr:uid="{7DB0CA94-E15C-497D-A56A-75F93F12D93B}"/>
    <cellStyle name="Normal 2 4 2 3 2 3 5 2 2 3" xfId="16970" xr:uid="{292D1F2F-6A8F-40DF-9478-79FDA46FBE9D}"/>
    <cellStyle name="Normal 2 4 2 3 2 3 5 2 3" xfId="21193" xr:uid="{A681AFBF-266E-428B-849D-878814F42117}"/>
    <cellStyle name="Normal 2 4 2 3 2 3 5 2 4" xfId="12751" xr:uid="{E37A8840-9A25-4884-8DFA-B411B3819476}"/>
    <cellStyle name="Normal 2 4 2 3 2 3 5 3" xfId="6331" xr:uid="{00000000-0005-0000-0000-0000D10E0000}"/>
    <cellStyle name="Normal 2 4 2 3 2 3 5 3 2" xfId="23266" xr:uid="{AF53092B-C7A5-4A34-80DB-5D09E34BE0B0}"/>
    <cellStyle name="Normal 2 4 2 3 2 3 5 3 3" xfId="14825" xr:uid="{3AE21090-051A-4739-8EAB-AAE690C8A1DB}"/>
    <cellStyle name="Normal 2 4 2 3 2 3 5 4" xfId="19048" xr:uid="{78C6D28D-37A0-4BF5-902B-4D0EB27CDF52}"/>
    <cellStyle name="Normal 2 4 2 3 2 3 5 5" xfId="10574" xr:uid="{9124D128-DB6B-4328-A465-C8F6FFBB4AA9}"/>
    <cellStyle name="Normal 2 4 2 3 2 3 6" xfId="2461" xr:uid="{00000000-0005-0000-0000-0000D20E0000}"/>
    <cellStyle name="Normal 2 4 2 3 2 3 6 2" xfId="6744" xr:uid="{00000000-0005-0000-0000-0000D30E0000}"/>
    <cellStyle name="Normal 2 4 2 3 2 3 6 2 2" xfId="23679" xr:uid="{C5471488-2371-4008-9CC4-2D52ED14B4EA}"/>
    <cellStyle name="Normal 2 4 2 3 2 3 6 2 3" xfId="15238" xr:uid="{922514C7-95BF-46F4-830F-103072D23E5B}"/>
    <cellStyle name="Normal 2 4 2 3 2 3 6 3" xfId="19461" xr:uid="{37D9971B-0208-4884-9FFB-734E2518A914}"/>
    <cellStyle name="Normal 2 4 2 3 2 3 6 4" xfId="11009" xr:uid="{66DA9823-0983-42CE-B443-D583E3178F6F}"/>
    <cellStyle name="Normal 2 4 2 3 2 3 7" xfId="4678" xr:uid="{00000000-0005-0000-0000-0000D40E0000}"/>
    <cellStyle name="Normal 2 4 2 3 2 3 7 2" xfId="21613" xr:uid="{249DAB34-A6DD-4C63-A75F-A2850EA19884}"/>
    <cellStyle name="Normal 2 4 2 3 2 3 7 3" xfId="13172" xr:uid="{4ED85816-7AF0-4500-AB09-1144E33AD1AB}"/>
    <cellStyle name="Normal 2 4 2 3 2 3 8" xfId="17395" xr:uid="{B18CFF90-DB7F-45CC-ADA2-86D85C076606}"/>
    <cellStyle name="Normal 2 4 2 3 2 3 9" xfId="8920" xr:uid="{C9929A77-3E54-4D60-A11B-A927D0F1AE8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4169" xr:uid="{28E9F9F7-8D37-4B73-8D27-B6D1676BDCE5}"/>
    <cellStyle name="Normal 2 4 2 3 2 4 2 2 3" xfId="15728" xr:uid="{BEEA8EDE-2DEB-4CDC-AA6B-27BC27CA92DD}"/>
    <cellStyle name="Normal 2 4 2 3 2 4 2 3" xfId="19951" xr:uid="{D7FCA83D-9864-4A30-92D6-5898C1A535E0}"/>
    <cellStyle name="Normal 2 4 2 3 2 4 2 4" xfId="11509" xr:uid="{5D7690E9-9E69-48EC-BC02-806AD0FCC351}"/>
    <cellStyle name="Normal 2 4 2 3 2 4 3" xfId="5089" xr:uid="{00000000-0005-0000-0000-0000D80E0000}"/>
    <cellStyle name="Normal 2 4 2 3 2 4 3 2" xfId="22024" xr:uid="{D5A5C606-25F1-49A2-85EE-FC113F94F099}"/>
    <cellStyle name="Normal 2 4 2 3 2 4 3 3" xfId="13583" xr:uid="{2EE5BFA6-8778-4840-89DA-66CAEAE2D953}"/>
    <cellStyle name="Normal 2 4 2 3 2 4 4" xfId="17806" xr:uid="{EC4972B4-443B-4383-8B07-BFDFF57C4C0B}"/>
    <cellStyle name="Normal 2 4 2 3 2 4 5" xfId="9332" xr:uid="{B5B911D6-214D-4CD3-974B-716D50600FEB}"/>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4582" xr:uid="{5F4A3867-0A58-44EF-B5EB-1C9270B91FA5}"/>
    <cellStyle name="Normal 2 4 2 3 2 5 2 2 3" xfId="16141" xr:uid="{8016305E-5F61-4390-917C-81FF3888ACA7}"/>
    <cellStyle name="Normal 2 4 2 3 2 5 2 3" xfId="20364" xr:uid="{89D21A89-3B59-48AF-9461-6C6DA12C7099}"/>
    <cellStyle name="Normal 2 4 2 3 2 5 2 4" xfId="11922" xr:uid="{1D063208-1DD4-4428-B360-A42EF0BB4C37}"/>
    <cellStyle name="Normal 2 4 2 3 2 5 3" xfId="5502" xr:uid="{00000000-0005-0000-0000-0000DC0E0000}"/>
    <cellStyle name="Normal 2 4 2 3 2 5 3 2" xfId="22437" xr:uid="{1C7D562F-9460-465C-8B49-74561ED70258}"/>
    <cellStyle name="Normal 2 4 2 3 2 5 3 3" xfId="13996" xr:uid="{32C9B561-17C6-470F-8A97-1448C9D80218}"/>
    <cellStyle name="Normal 2 4 2 3 2 5 4" xfId="18219" xr:uid="{E3205241-AFDC-4CA1-8D43-901054426B65}"/>
    <cellStyle name="Normal 2 4 2 3 2 5 5" xfId="9745" xr:uid="{944E8ECC-EF43-4904-BF20-285F0DF5FA42}"/>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4995" xr:uid="{7079D759-0659-44C3-8D73-CDD329B47FD4}"/>
    <cellStyle name="Normal 2 4 2 3 2 6 2 2 3" xfId="16554" xr:uid="{9DE20198-1356-49DF-862B-85DA93D66384}"/>
    <cellStyle name="Normal 2 4 2 3 2 6 2 3" xfId="20777" xr:uid="{D78911BB-5C75-48BD-B600-4F5BB66EB544}"/>
    <cellStyle name="Normal 2 4 2 3 2 6 2 4" xfId="12335" xr:uid="{3AC22D35-3105-48DB-8374-AD9120E314A7}"/>
    <cellStyle name="Normal 2 4 2 3 2 6 3" xfId="5915" xr:uid="{00000000-0005-0000-0000-0000E00E0000}"/>
    <cellStyle name="Normal 2 4 2 3 2 6 3 2" xfId="22850" xr:uid="{D0BF150B-56AE-41A3-9244-ECD7858BFA58}"/>
    <cellStyle name="Normal 2 4 2 3 2 6 3 3" xfId="14409" xr:uid="{877FAAD8-5A27-4759-AAF7-FE9E8DEC4003}"/>
    <cellStyle name="Normal 2 4 2 3 2 6 4" xfId="18632" xr:uid="{3353E63C-1641-457A-AF27-D98CF48C9B02}"/>
    <cellStyle name="Normal 2 4 2 3 2 6 5" xfId="10158" xr:uid="{C09C8B4D-E4F9-4DB3-86FB-4EDEEA8F2248}"/>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5408" xr:uid="{951D9661-83B4-4BE0-87AE-B63144C6733F}"/>
    <cellStyle name="Normal 2 4 2 3 2 7 2 2 3" xfId="16967" xr:uid="{7D78AE24-76C9-45F1-A929-5D2FA67AA044}"/>
    <cellStyle name="Normal 2 4 2 3 2 7 2 3" xfId="21190" xr:uid="{967B02A3-13A1-4E8E-B555-43CACC2F044A}"/>
    <cellStyle name="Normal 2 4 2 3 2 7 2 4" xfId="12748" xr:uid="{AE4F1EE0-9FAA-47E3-B082-6F60CDA78187}"/>
    <cellStyle name="Normal 2 4 2 3 2 7 3" xfId="6328" xr:uid="{00000000-0005-0000-0000-0000E40E0000}"/>
    <cellStyle name="Normal 2 4 2 3 2 7 3 2" xfId="23263" xr:uid="{E86D1243-0F20-4AE0-A834-7B52A6E34FBF}"/>
    <cellStyle name="Normal 2 4 2 3 2 7 3 3" xfId="14822" xr:uid="{AB47CCDF-D1BB-423D-A0B7-99A6641A6999}"/>
    <cellStyle name="Normal 2 4 2 3 2 7 4" xfId="19045" xr:uid="{2A0FFBA4-7DBE-47B6-9BA8-2A38B1262A1E}"/>
    <cellStyle name="Normal 2 4 2 3 2 7 5" xfId="10571" xr:uid="{2341C5E6-0A5D-4ACB-94CB-E5215D816F90}"/>
    <cellStyle name="Normal 2 4 2 3 2 8" xfId="2458" xr:uid="{00000000-0005-0000-0000-0000E50E0000}"/>
    <cellStyle name="Normal 2 4 2 3 2 8 2" xfId="6741" xr:uid="{00000000-0005-0000-0000-0000E60E0000}"/>
    <cellStyle name="Normal 2 4 2 3 2 8 2 2" xfId="23676" xr:uid="{1CC10F5C-0157-4536-B8FD-CD8D96D5227A}"/>
    <cellStyle name="Normal 2 4 2 3 2 8 2 3" xfId="15235" xr:uid="{7E603B06-3C10-4648-95C9-52080F0C2342}"/>
    <cellStyle name="Normal 2 4 2 3 2 8 3" xfId="19458" xr:uid="{965C6C3B-F11C-4519-B491-EE619C63E05A}"/>
    <cellStyle name="Normal 2 4 2 3 2 8 4" xfId="11006" xr:uid="{55D28B1C-6F0B-40E9-8FB3-08A281366454}"/>
    <cellStyle name="Normal 2 4 2 3 2 9" xfId="4675" xr:uid="{00000000-0005-0000-0000-0000E70E0000}"/>
    <cellStyle name="Normal 2 4 2 3 2 9 2" xfId="21610" xr:uid="{FCEB89C4-A62B-4C48-A1A7-D858B4C1B206}"/>
    <cellStyle name="Normal 2 4 2 3 2 9 3" xfId="13169" xr:uid="{DF230F04-B4FF-4AFE-A8E8-C86A3F99FD4A}"/>
    <cellStyle name="Normal 2 4 2 3 3" xfId="286" xr:uid="{00000000-0005-0000-0000-0000E80E0000}"/>
    <cellStyle name="Normal 2 4 2 3 3 10" xfId="8921" xr:uid="{F29A99AC-178C-424F-83C6-21A2879AB259}"/>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4174" xr:uid="{33169B3B-E618-41D6-A77C-DC9FC6CC4B10}"/>
    <cellStyle name="Normal 2 4 2 3 3 2 2 2 2 3" xfId="15733" xr:uid="{3E7B8D14-7464-4237-B9C8-99EF15928FF6}"/>
    <cellStyle name="Normal 2 4 2 3 3 2 2 2 3" xfId="19956" xr:uid="{7430B919-2AEB-4684-9007-008DD1376E69}"/>
    <cellStyle name="Normal 2 4 2 3 3 2 2 2 4" xfId="11514" xr:uid="{69E179EE-5771-4514-8292-5A587650877E}"/>
    <cellStyle name="Normal 2 4 2 3 3 2 2 3" xfId="5094" xr:uid="{00000000-0005-0000-0000-0000ED0E0000}"/>
    <cellStyle name="Normal 2 4 2 3 3 2 2 3 2" xfId="22029" xr:uid="{87CFB506-4DD2-4B4B-8740-FC2DADDE26FB}"/>
    <cellStyle name="Normal 2 4 2 3 3 2 2 3 3" xfId="13588" xr:uid="{8716D97B-F666-47EE-B382-7529C03CAFF3}"/>
    <cellStyle name="Normal 2 4 2 3 3 2 2 4" xfId="17811" xr:uid="{43E884D6-A0DF-47C6-89DE-760FF82CC66D}"/>
    <cellStyle name="Normal 2 4 2 3 3 2 2 5" xfId="9337" xr:uid="{16EB47B7-36C8-4300-B1AD-169CAF4CD3F4}"/>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4587" xr:uid="{546D576B-469A-416E-BD5E-8E8AD27525F8}"/>
    <cellStyle name="Normal 2 4 2 3 3 2 3 2 2 3" xfId="16146" xr:uid="{8F1BB4BA-73BD-4A1F-880F-81A6D5A2C813}"/>
    <cellStyle name="Normal 2 4 2 3 3 2 3 2 3" xfId="20369" xr:uid="{F2205721-2C55-4804-A3CD-EE1137B36B82}"/>
    <cellStyle name="Normal 2 4 2 3 3 2 3 2 4" xfId="11927" xr:uid="{7EF27915-51F3-4642-A86A-737936A1C220}"/>
    <cellStyle name="Normal 2 4 2 3 3 2 3 3" xfId="5507" xr:uid="{00000000-0005-0000-0000-0000F10E0000}"/>
    <cellStyle name="Normal 2 4 2 3 3 2 3 3 2" xfId="22442" xr:uid="{2AA1EEAE-2807-4141-8403-7084B7EB96DA}"/>
    <cellStyle name="Normal 2 4 2 3 3 2 3 3 3" xfId="14001" xr:uid="{CA0FBF76-042B-4EC7-8724-678D7E3665CE}"/>
    <cellStyle name="Normal 2 4 2 3 3 2 3 4" xfId="18224" xr:uid="{7288C9A2-6ACA-49F2-90D3-204E25AAB077}"/>
    <cellStyle name="Normal 2 4 2 3 3 2 3 5" xfId="9750" xr:uid="{D0DD427A-7372-4D46-922A-4E87BAF31DC2}"/>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5000" xr:uid="{30639788-4E3F-4832-99BF-AC5DBB21B3B2}"/>
    <cellStyle name="Normal 2 4 2 3 3 2 4 2 2 3" xfId="16559" xr:uid="{E901E3F2-B40F-4A85-93CF-8C402A4917BC}"/>
    <cellStyle name="Normal 2 4 2 3 3 2 4 2 3" xfId="20782" xr:uid="{0C8C9609-18D1-403D-BDBC-ED77589C3502}"/>
    <cellStyle name="Normal 2 4 2 3 3 2 4 2 4" xfId="12340" xr:uid="{457024BC-6F2E-41AC-9A2C-66A26B8F4FE4}"/>
    <cellStyle name="Normal 2 4 2 3 3 2 4 3" xfId="5920" xr:uid="{00000000-0005-0000-0000-0000F50E0000}"/>
    <cellStyle name="Normal 2 4 2 3 3 2 4 3 2" xfId="22855" xr:uid="{770CD160-48C0-4DBD-B9C6-F683A1FCD0A2}"/>
    <cellStyle name="Normal 2 4 2 3 3 2 4 3 3" xfId="14414" xr:uid="{A799A975-6BF7-41B0-8259-4085B89A8A26}"/>
    <cellStyle name="Normal 2 4 2 3 3 2 4 4" xfId="18637" xr:uid="{F0483E00-0E7C-49EE-A3F8-EE171FA59C9A}"/>
    <cellStyle name="Normal 2 4 2 3 3 2 4 5" xfId="10163" xr:uid="{00CEA6E9-615E-4BA1-B80D-345F0495018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5413" xr:uid="{A3D3CDDA-7881-49FF-9BB0-961F4959EED5}"/>
    <cellStyle name="Normal 2 4 2 3 3 2 5 2 2 3" xfId="16972" xr:uid="{26F51AB0-A4C5-496C-BB14-EF50532906E0}"/>
    <cellStyle name="Normal 2 4 2 3 3 2 5 2 3" xfId="21195" xr:uid="{F6A48F2F-F7E3-47A9-851F-710834D04E72}"/>
    <cellStyle name="Normal 2 4 2 3 3 2 5 2 4" xfId="12753" xr:uid="{E23E8493-1BBA-4966-A955-67E9082BBB89}"/>
    <cellStyle name="Normal 2 4 2 3 3 2 5 3" xfId="6333" xr:uid="{00000000-0005-0000-0000-0000F90E0000}"/>
    <cellStyle name="Normal 2 4 2 3 3 2 5 3 2" xfId="23268" xr:uid="{12FEA21B-274E-4DDA-AF43-F53B915737C3}"/>
    <cellStyle name="Normal 2 4 2 3 3 2 5 3 3" xfId="14827" xr:uid="{24D99026-E172-4853-AD44-A00EB46BD8E8}"/>
    <cellStyle name="Normal 2 4 2 3 3 2 5 4" xfId="19050" xr:uid="{2FC73CE6-3DA0-4FE9-92AB-84965140D049}"/>
    <cellStyle name="Normal 2 4 2 3 3 2 5 5" xfId="10576" xr:uid="{147BE346-D3B3-41EF-AB4A-33FE318676E2}"/>
    <cellStyle name="Normal 2 4 2 3 3 2 6" xfId="2463" xr:uid="{00000000-0005-0000-0000-0000FA0E0000}"/>
    <cellStyle name="Normal 2 4 2 3 3 2 6 2" xfId="6746" xr:uid="{00000000-0005-0000-0000-0000FB0E0000}"/>
    <cellStyle name="Normal 2 4 2 3 3 2 6 2 2" xfId="23681" xr:uid="{30D8F1F2-DF38-42D0-A00C-9D8CE28C9015}"/>
    <cellStyle name="Normal 2 4 2 3 3 2 6 2 3" xfId="15240" xr:uid="{54AED6B8-B477-4019-80A5-6CECEDADE6F1}"/>
    <cellStyle name="Normal 2 4 2 3 3 2 6 3" xfId="19463" xr:uid="{0904B7BF-5A4D-4592-B393-180CADA8BE57}"/>
    <cellStyle name="Normal 2 4 2 3 3 2 6 4" xfId="11011" xr:uid="{65D6A123-8459-487A-9CED-CDAE302F434B}"/>
    <cellStyle name="Normal 2 4 2 3 3 2 7" xfId="4680" xr:uid="{00000000-0005-0000-0000-0000FC0E0000}"/>
    <cellStyle name="Normal 2 4 2 3 3 2 7 2" xfId="21615" xr:uid="{2F871B23-EB4D-48E1-9AF1-45585263FA57}"/>
    <cellStyle name="Normal 2 4 2 3 3 2 7 3" xfId="13174" xr:uid="{7D5C29F5-F18D-4A70-9E7F-2617EB9F82F4}"/>
    <cellStyle name="Normal 2 4 2 3 3 2 8" xfId="17397" xr:uid="{E928F265-E89C-4100-820A-870678A51E90}"/>
    <cellStyle name="Normal 2 4 2 3 3 2 9" xfId="8922" xr:uid="{638EF658-049D-4496-8CF3-69902C513578}"/>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4173" xr:uid="{B86ADF9A-F6A3-4FE6-969F-E209C3FCC236}"/>
    <cellStyle name="Normal 2 4 2 3 3 3 2 2 3" xfId="15732" xr:uid="{B3A30288-244C-4F23-B322-BEE12D46061E}"/>
    <cellStyle name="Normal 2 4 2 3 3 3 2 3" xfId="19955" xr:uid="{4C3FA88F-E45E-4418-9E6D-E96C70BF302F}"/>
    <cellStyle name="Normal 2 4 2 3 3 3 2 4" xfId="11513" xr:uid="{A91928D9-8460-49EC-8454-24A4FE5FEFFE}"/>
    <cellStyle name="Normal 2 4 2 3 3 3 3" xfId="5093" xr:uid="{00000000-0005-0000-0000-0000000F0000}"/>
    <cellStyle name="Normal 2 4 2 3 3 3 3 2" xfId="22028" xr:uid="{3C016BDF-5D14-40EA-88A8-5E6434D96D0B}"/>
    <cellStyle name="Normal 2 4 2 3 3 3 3 3" xfId="13587" xr:uid="{4CF3FAC8-3037-4597-8C17-42F7D34E4DA9}"/>
    <cellStyle name="Normal 2 4 2 3 3 3 4" xfId="17810" xr:uid="{1DF84D91-6A3A-4F3F-83EB-E841BAB6C856}"/>
    <cellStyle name="Normal 2 4 2 3 3 3 5" xfId="9336" xr:uid="{4824299E-800E-41BA-B6EE-2D2D8F2BED32}"/>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4586" xr:uid="{D1A7C87C-E4FB-4834-8DCC-DA515DF6F732}"/>
    <cellStyle name="Normal 2 4 2 3 3 4 2 2 3" xfId="16145" xr:uid="{FC215E6B-E031-4F61-A992-09F667C263ED}"/>
    <cellStyle name="Normal 2 4 2 3 3 4 2 3" xfId="20368" xr:uid="{1E0A3455-B160-4F9A-9D94-3A93628D2644}"/>
    <cellStyle name="Normal 2 4 2 3 3 4 2 4" xfId="11926" xr:uid="{EE258DAF-2A8F-45FB-9078-370600D1F04D}"/>
    <cellStyle name="Normal 2 4 2 3 3 4 3" xfId="5506" xr:uid="{00000000-0005-0000-0000-0000040F0000}"/>
    <cellStyle name="Normal 2 4 2 3 3 4 3 2" xfId="22441" xr:uid="{371147F6-0A71-4662-85E0-6F7BFDB57DF8}"/>
    <cellStyle name="Normal 2 4 2 3 3 4 3 3" xfId="14000" xr:uid="{D1D6224F-F0A9-4AAF-BC78-27B99614BB2C}"/>
    <cellStyle name="Normal 2 4 2 3 3 4 4" xfId="18223" xr:uid="{484592BB-5B32-4552-9A69-DB11B7A08432}"/>
    <cellStyle name="Normal 2 4 2 3 3 4 5" xfId="9749" xr:uid="{F90B19DE-AA94-440B-A59B-8E6FBCB81B86}"/>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4999" xr:uid="{A7DC6384-317A-4541-9C00-2D9048FEDA77}"/>
    <cellStyle name="Normal 2 4 2 3 3 5 2 2 3" xfId="16558" xr:uid="{BFC91B5F-CF63-483A-A81D-2A617F04B754}"/>
    <cellStyle name="Normal 2 4 2 3 3 5 2 3" xfId="20781" xr:uid="{A6260B8E-BD79-4E4A-9452-ECC01E5984FA}"/>
    <cellStyle name="Normal 2 4 2 3 3 5 2 4" xfId="12339" xr:uid="{F5C2CB46-1F70-4BB6-BE66-B4008EF859BD}"/>
    <cellStyle name="Normal 2 4 2 3 3 5 3" xfId="5919" xr:uid="{00000000-0005-0000-0000-0000080F0000}"/>
    <cellStyle name="Normal 2 4 2 3 3 5 3 2" xfId="22854" xr:uid="{6486A20D-365B-49B9-8342-93638315CB9F}"/>
    <cellStyle name="Normal 2 4 2 3 3 5 3 3" xfId="14413" xr:uid="{10281A8F-7F99-4E7B-BE9D-8D5BE9380BA6}"/>
    <cellStyle name="Normal 2 4 2 3 3 5 4" xfId="18636" xr:uid="{628E530C-AA62-45A6-BF36-FA105D506637}"/>
    <cellStyle name="Normal 2 4 2 3 3 5 5" xfId="10162" xr:uid="{62B7C2A9-D86F-4772-8BC3-1A1E889A263A}"/>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5412" xr:uid="{98D35132-1115-4C2E-B00C-FCD691E95B80}"/>
    <cellStyle name="Normal 2 4 2 3 3 6 2 2 3" xfId="16971" xr:uid="{0622E877-9A7D-49E2-B767-80BC7489B36B}"/>
    <cellStyle name="Normal 2 4 2 3 3 6 2 3" xfId="21194" xr:uid="{E974AAE9-7EB1-4A88-AA77-91BBCB429E06}"/>
    <cellStyle name="Normal 2 4 2 3 3 6 2 4" xfId="12752" xr:uid="{39AED279-7627-4956-85D6-CCD107E6EFA5}"/>
    <cellStyle name="Normal 2 4 2 3 3 6 3" xfId="6332" xr:uid="{00000000-0005-0000-0000-00000C0F0000}"/>
    <cellStyle name="Normal 2 4 2 3 3 6 3 2" xfId="23267" xr:uid="{CEB7AA98-BBA6-4130-A43B-CB6B51BF2B23}"/>
    <cellStyle name="Normal 2 4 2 3 3 6 3 3" xfId="14826" xr:uid="{1A5CBD79-0D1A-4598-952B-213E2493FB80}"/>
    <cellStyle name="Normal 2 4 2 3 3 6 4" xfId="19049" xr:uid="{F762677B-37F2-4E2A-965E-3F2A299F9787}"/>
    <cellStyle name="Normal 2 4 2 3 3 6 5" xfId="10575" xr:uid="{72CBFD98-3833-43B9-86F1-BC6F238E0275}"/>
    <cellStyle name="Normal 2 4 2 3 3 7" xfId="2462" xr:uid="{00000000-0005-0000-0000-00000D0F0000}"/>
    <cellStyle name="Normal 2 4 2 3 3 7 2" xfId="6745" xr:uid="{00000000-0005-0000-0000-00000E0F0000}"/>
    <cellStyle name="Normal 2 4 2 3 3 7 2 2" xfId="23680" xr:uid="{4BA3C6C0-A9BB-4D2F-91C9-13BF38418AAC}"/>
    <cellStyle name="Normal 2 4 2 3 3 7 2 3" xfId="15239" xr:uid="{984C5978-0E9C-42E0-B32D-14A27DC3AD8A}"/>
    <cellStyle name="Normal 2 4 2 3 3 7 3" xfId="19462" xr:uid="{B5AB52BE-429A-4EDD-B453-8C26B1A8D35F}"/>
    <cellStyle name="Normal 2 4 2 3 3 7 4" xfId="11010" xr:uid="{47588205-017A-4E70-9E91-3E8161F6D75C}"/>
    <cellStyle name="Normal 2 4 2 3 3 8" xfId="4679" xr:uid="{00000000-0005-0000-0000-00000F0F0000}"/>
    <cellStyle name="Normal 2 4 2 3 3 8 2" xfId="21614" xr:uid="{4F374AD9-6948-40DB-B402-9B01D5CA915E}"/>
    <cellStyle name="Normal 2 4 2 3 3 8 3" xfId="13173" xr:uid="{C5E27185-0FC0-436E-BD21-894D12B0B8DA}"/>
    <cellStyle name="Normal 2 4 2 3 3 9" xfId="17396" xr:uid="{F7325250-F60A-4A34-8350-03CE0DC5EF29}"/>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4175" xr:uid="{B89BB9FF-45C8-434A-8243-93497E2615AB}"/>
    <cellStyle name="Normal 2 4 2 3 4 2 2 2 3" xfId="15734" xr:uid="{679C5869-ACEE-4B5F-B3AA-5F05876C044E}"/>
    <cellStyle name="Normal 2 4 2 3 4 2 2 3" xfId="19957" xr:uid="{686CA480-D845-4D7B-BF65-998CB34797BD}"/>
    <cellStyle name="Normal 2 4 2 3 4 2 2 4" xfId="11515" xr:uid="{8CFFFA66-8B4B-43B1-8DDF-88ED2EE37F17}"/>
    <cellStyle name="Normal 2 4 2 3 4 2 3" xfId="5095" xr:uid="{00000000-0005-0000-0000-0000140F0000}"/>
    <cellStyle name="Normal 2 4 2 3 4 2 3 2" xfId="22030" xr:uid="{544D3C3C-F97F-4934-AAFC-5ED66CCD387C}"/>
    <cellStyle name="Normal 2 4 2 3 4 2 3 3" xfId="13589" xr:uid="{6F65903C-5AF0-474F-9FCE-BBAF9DE9088F}"/>
    <cellStyle name="Normal 2 4 2 3 4 2 4" xfId="17812" xr:uid="{FC46045A-E92A-4557-877E-AD2FF79F14CD}"/>
    <cellStyle name="Normal 2 4 2 3 4 2 5" xfId="9338" xr:uid="{B0775386-4A53-4C60-A775-53E5AD0FF17F}"/>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4588" xr:uid="{56E76ABC-9307-40E7-843B-FAE74530EF30}"/>
    <cellStyle name="Normal 2 4 2 3 4 3 2 2 3" xfId="16147" xr:uid="{FCFAD20A-6859-4FAA-A861-5439C91416A3}"/>
    <cellStyle name="Normal 2 4 2 3 4 3 2 3" xfId="20370" xr:uid="{8B6E4FA9-3E54-40DE-8618-557F3B592284}"/>
    <cellStyle name="Normal 2 4 2 3 4 3 2 4" xfId="11928" xr:uid="{F7251871-ACE3-4014-BAFB-CFD93EF45F5F}"/>
    <cellStyle name="Normal 2 4 2 3 4 3 3" xfId="5508" xr:uid="{00000000-0005-0000-0000-0000180F0000}"/>
    <cellStyle name="Normal 2 4 2 3 4 3 3 2" xfId="22443" xr:uid="{119F9F93-94A6-49AF-9ADC-05229E33E1EF}"/>
    <cellStyle name="Normal 2 4 2 3 4 3 3 3" xfId="14002" xr:uid="{5C85601C-3E03-4DA9-8446-8BFEA32A1A68}"/>
    <cellStyle name="Normal 2 4 2 3 4 3 4" xfId="18225" xr:uid="{529DFAF7-2F5A-4026-B2BF-FFA1B4204F31}"/>
    <cellStyle name="Normal 2 4 2 3 4 3 5" xfId="9751" xr:uid="{3BA7F679-A34D-4CA1-B920-E75FB30968B8}"/>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5001" xr:uid="{A460477D-B9E9-46A4-8DCB-AF9A510EEFA6}"/>
    <cellStyle name="Normal 2 4 2 3 4 4 2 2 3" xfId="16560" xr:uid="{56F42E75-AECD-4C59-A9C7-D729F5233650}"/>
    <cellStyle name="Normal 2 4 2 3 4 4 2 3" xfId="20783" xr:uid="{BAE308B5-139A-47FF-AA74-1AEBA50B16CE}"/>
    <cellStyle name="Normal 2 4 2 3 4 4 2 4" xfId="12341" xr:uid="{309E2BB1-18C0-4DB2-A53C-5E084BAD64DE}"/>
    <cellStyle name="Normal 2 4 2 3 4 4 3" xfId="5921" xr:uid="{00000000-0005-0000-0000-00001C0F0000}"/>
    <cellStyle name="Normal 2 4 2 3 4 4 3 2" xfId="22856" xr:uid="{E56F5A18-3609-4A2E-931C-E5935C025118}"/>
    <cellStyle name="Normal 2 4 2 3 4 4 3 3" xfId="14415" xr:uid="{5E1455A9-9FC7-4938-9CDB-68049F177A7D}"/>
    <cellStyle name="Normal 2 4 2 3 4 4 4" xfId="18638" xr:uid="{7F5F60FD-0B88-4F0A-8D7E-ABF884AAFBDD}"/>
    <cellStyle name="Normal 2 4 2 3 4 4 5" xfId="10164" xr:uid="{9AD9FF39-98E6-4FED-81C0-F497A50A9507}"/>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5414" xr:uid="{71184ABB-9EE7-42D1-BA19-31AC82468F0F}"/>
    <cellStyle name="Normal 2 4 2 3 4 5 2 2 3" xfId="16973" xr:uid="{38C7076C-19D6-4B94-B304-35265D39F3B5}"/>
    <cellStyle name="Normal 2 4 2 3 4 5 2 3" xfId="21196" xr:uid="{018115D4-001B-4BAE-80F7-315CD4D8212C}"/>
    <cellStyle name="Normal 2 4 2 3 4 5 2 4" xfId="12754" xr:uid="{880C691E-8C5D-4A93-8F95-D1C2ED58E618}"/>
    <cellStyle name="Normal 2 4 2 3 4 5 3" xfId="6334" xr:uid="{00000000-0005-0000-0000-0000200F0000}"/>
    <cellStyle name="Normal 2 4 2 3 4 5 3 2" xfId="23269" xr:uid="{7BFD593A-4B25-464C-85E0-7713DCF41E19}"/>
    <cellStyle name="Normal 2 4 2 3 4 5 3 3" xfId="14828" xr:uid="{E9E09DCB-6141-45E1-B81F-CA0A094A7CD3}"/>
    <cellStyle name="Normal 2 4 2 3 4 5 4" xfId="19051" xr:uid="{5E7200A5-AA82-4CC7-BD79-BC1DF3A6A6A2}"/>
    <cellStyle name="Normal 2 4 2 3 4 5 5" xfId="10577" xr:uid="{DFB53694-9627-4246-9B18-4BB54F42E2CB}"/>
    <cellStyle name="Normal 2 4 2 3 4 6" xfId="2464" xr:uid="{00000000-0005-0000-0000-0000210F0000}"/>
    <cellStyle name="Normal 2 4 2 3 4 6 2" xfId="6747" xr:uid="{00000000-0005-0000-0000-0000220F0000}"/>
    <cellStyle name="Normal 2 4 2 3 4 6 2 2" xfId="23682" xr:uid="{D08AFE99-A662-40AE-B0E6-CA62F6AEBB0D}"/>
    <cellStyle name="Normal 2 4 2 3 4 6 2 3" xfId="15241" xr:uid="{374A8FD0-3BA5-43C7-B663-1CF392A0852B}"/>
    <cellStyle name="Normal 2 4 2 3 4 6 3" xfId="19464" xr:uid="{AD2BDCD2-86FB-4777-A958-BD72CA039FF6}"/>
    <cellStyle name="Normal 2 4 2 3 4 6 4" xfId="11012" xr:uid="{6D10A457-59ED-45C9-A0C6-E86162E5069C}"/>
    <cellStyle name="Normal 2 4 2 3 4 7" xfId="4681" xr:uid="{00000000-0005-0000-0000-0000230F0000}"/>
    <cellStyle name="Normal 2 4 2 3 4 7 2" xfId="21616" xr:uid="{DDD57F4A-3389-41DB-BE5A-FFC7F8AA637A}"/>
    <cellStyle name="Normal 2 4 2 3 4 7 3" xfId="13175" xr:uid="{E8976449-5176-4FFD-A29A-E9BF5D91A6AC}"/>
    <cellStyle name="Normal 2 4 2 3 4 8" xfId="17398" xr:uid="{78DB7CE9-2210-47CC-8E6C-EE98942B11A0}"/>
    <cellStyle name="Normal 2 4 2 3 4 9" xfId="8923" xr:uid="{12292EF4-432A-4F79-9326-A0009C25CE3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168" xr:uid="{8C46DCC0-DC8C-4864-9EF7-FC40FDDE596D}"/>
    <cellStyle name="Normal 2 4 2 3 5 2 2 3" xfId="15727" xr:uid="{DD8321AF-21E5-4A25-BD39-6F268F909EC8}"/>
    <cellStyle name="Normal 2 4 2 3 5 2 3" xfId="19950" xr:uid="{A25F13BD-C900-4135-A012-E3FD11217833}"/>
    <cellStyle name="Normal 2 4 2 3 5 2 4" xfId="11508" xr:uid="{7DA52270-366A-48BB-B238-B925CDB4FD88}"/>
    <cellStyle name="Normal 2 4 2 3 5 3" xfId="5088" xr:uid="{00000000-0005-0000-0000-0000270F0000}"/>
    <cellStyle name="Normal 2 4 2 3 5 3 2" xfId="22023" xr:uid="{8C198F6D-7D95-440D-BB07-4738997D3450}"/>
    <cellStyle name="Normal 2 4 2 3 5 3 3" xfId="13582" xr:uid="{6C5D66DB-44BD-4F80-98D8-3AC495B44F69}"/>
    <cellStyle name="Normal 2 4 2 3 5 4" xfId="17805" xr:uid="{5D0DCF7D-5216-40DB-B064-6AAB4952B8E3}"/>
    <cellStyle name="Normal 2 4 2 3 5 5" xfId="9331" xr:uid="{9BD18E09-0CC8-4264-BFEA-DAA73219D0ED}"/>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4581" xr:uid="{BCD7A4DD-93B0-4467-B566-FE0EED4E294E}"/>
    <cellStyle name="Normal 2 4 2 3 6 2 2 3" xfId="16140" xr:uid="{4A130332-D6C2-4384-9432-2AA9A239D805}"/>
    <cellStyle name="Normal 2 4 2 3 6 2 3" xfId="20363" xr:uid="{6A30603D-A293-4805-9147-60FF34B68E2B}"/>
    <cellStyle name="Normal 2 4 2 3 6 2 4" xfId="11921" xr:uid="{BFD482ED-1413-4D6E-93C7-B2CCE36CCB3C}"/>
    <cellStyle name="Normal 2 4 2 3 6 3" xfId="5501" xr:uid="{00000000-0005-0000-0000-00002B0F0000}"/>
    <cellStyle name="Normal 2 4 2 3 6 3 2" xfId="22436" xr:uid="{49A06DE3-5FAC-4704-ADD5-7683F57276DA}"/>
    <cellStyle name="Normal 2 4 2 3 6 3 3" xfId="13995" xr:uid="{07E89C95-875D-451E-AD91-2DF2862EFBE9}"/>
    <cellStyle name="Normal 2 4 2 3 6 4" xfId="18218" xr:uid="{5CA982C1-06BA-4B44-AC0B-82837F9ACC85}"/>
    <cellStyle name="Normal 2 4 2 3 6 5" xfId="9744" xr:uid="{F71AA04A-8FC7-4331-8ECF-91BD82E4B274}"/>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4994" xr:uid="{6E0FD930-BFE6-47BD-86E1-D48BCB9D0D24}"/>
    <cellStyle name="Normal 2 4 2 3 7 2 2 3" xfId="16553" xr:uid="{ADE7D94F-2837-4BFF-A806-354FCCF56378}"/>
    <cellStyle name="Normal 2 4 2 3 7 2 3" xfId="20776" xr:uid="{1F217754-78FF-488B-B366-F492C8134D93}"/>
    <cellStyle name="Normal 2 4 2 3 7 2 4" xfId="12334" xr:uid="{0130B923-3427-4819-82FA-69A52E0A3565}"/>
    <cellStyle name="Normal 2 4 2 3 7 3" xfId="5914" xr:uid="{00000000-0005-0000-0000-00002F0F0000}"/>
    <cellStyle name="Normal 2 4 2 3 7 3 2" xfId="22849" xr:uid="{055D4598-41DC-489C-B1AA-23B22B3E5E10}"/>
    <cellStyle name="Normal 2 4 2 3 7 3 3" xfId="14408" xr:uid="{9BC1EA7E-CD72-425B-9588-179366D9C521}"/>
    <cellStyle name="Normal 2 4 2 3 7 4" xfId="18631" xr:uid="{739B9E62-4526-42DA-A3FB-8FA06C94C0AF}"/>
    <cellStyle name="Normal 2 4 2 3 7 5" xfId="10157" xr:uid="{D6FB41FD-5E42-45C4-AA29-288BF7D6665A}"/>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5407" xr:uid="{871B07CD-7417-4550-AB2D-198245B044FB}"/>
    <cellStyle name="Normal 2 4 2 3 8 2 2 3" xfId="16966" xr:uid="{D21942E3-DACD-413E-A068-A3F29DE84AAD}"/>
    <cellStyle name="Normal 2 4 2 3 8 2 3" xfId="21189" xr:uid="{C12C4D75-D402-499D-BA2F-4B07F0019DE1}"/>
    <cellStyle name="Normal 2 4 2 3 8 2 4" xfId="12747" xr:uid="{FCCF1C6A-FE10-41C1-9941-0D89B025734B}"/>
    <cellStyle name="Normal 2 4 2 3 8 3" xfId="6327" xr:uid="{00000000-0005-0000-0000-0000330F0000}"/>
    <cellStyle name="Normal 2 4 2 3 8 3 2" xfId="23262" xr:uid="{71623DFA-883F-424C-95D5-17D73C6F21A0}"/>
    <cellStyle name="Normal 2 4 2 3 8 3 3" xfId="14821" xr:uid="{0DFD36C9-AB60-456C-966C-355D5798BBBB}"/>
    <cellStyle name="Normal 2 4 2 3 8 4" xfId="19044" xr:uid="{3F96558A-3F55-409E-86E7-B32C8AB52D25}"/>
    <cellStyle name="Normal 2 4 2 3 8 5" xfId="10570" xr:uid="{A9D61092-B9DD-4F50-800E-A4CF33380C70}"/>
    <cellStyle name="Normal 2 4 2 3 9" xfId="2457" xr:uid="{00000000-0005-0000-0000-0000340F0000}"/>
    <cellStyle name="Normal 2 4 2 3 9 2" xfId="6740" xr:uid="{00000000-0005-0000-0000-0000350F0000}"/>
    <cellStyle name="Normal 2 4 2 3 9 2 2" xfId="23675" xr:uid="{C46B425A-EAC4-4464-84E4-EECBA215FFF3}"/>
    <cellStyle name="Normal 2 4 2 3 9 2 3" xfId="15234" xr:uid="{C614A6B6-2031-4E58-BA66-DB5C253A79D4}"/>
    <cellStyle name="Normal 2 4 2 3 9 3" xfId="19457" xr:uid="{F63FB5A5-62C5-4337-87C1-D51F03EB6441}"/>
    <cellStyle name="Normal 2 4 2 3 9 4" xfId="11005" xr:uid="{0D96E6D6-4F7A-402A-BC2D-DF4E0DEC5205}"/>
    <cellStyle name="Normal 2 4 2 4" xfId="289" xr:uid="{00000000-0005-0000-0000-0000360F0000}"/>
    <cellStyle name="Normal 2 4 2 4 10" xfId="17399" xr:uid="{EA8C2343-C2B6-4389-B6A4-4A6B8CA4E695}"/>
    <cellStyle name="Normal 2 4 2 4 11" xfId="8924" xr:uid="{D9AF46DD-B0A4-42F5-82AD-0B49D3608B60}"/>
    <cellStyle name="Normal 2 4 2 4 2" xfId="290" xr:uid="{00000000-0005-0000-0000-0000370F0000}"/>
    <cellStyle name="Normal 2 4 2 4 2 10" xfId="8925" xr:uid="{3BD94771-D0D2-4857-855D-158CB8FB4E6B}"/>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4178" xr:uid="{691526FB-C2E8-4BDB-A051-AF5A24B44CCF}"/>
    <cellStyle name="Normal 2 4 2 4 2 2 2 2 2 3" xfId="15737" xr:uid="{038B8946-4C98-4912-9C13-34ECCB3DA39E}"/>
    <cellStyle name="Normal 2 4 2 4 2 2 2 2 3" xfId="19960" xr:uid="{99520612-0017-497C-B1D1-B9F5794190AE}"/>
    <cellStyle name="Normal 2 4 2 4 2 2 2 2 4" xfId="11518" xr:uid="{499BC1D0-C342-4AFE-92FF-9B1037965033}"/>
    <cellStyle name="Normal 2 4 2 4 2 2 2 3" xfId="5098" xr:uid="{00000000-0005-0000-0000-00003C0F0000}"/>
    <cellStyle name="Normal 2 4 2 4 2 2 2 3 2" xfId="22033" xr:uid="{9D04D6CE-6B1A-40CD-827F-F99ACD4A244C}"/>
    <cellStyle name="Normal 2 4 2 4 2 2 2 3 3" xfId="13592" xr:uid="{5322D4EA-0B79-41AD-BC4B-A0E65BF17268}"/>
    <cellStyle name="Normal 2 4 2 4 2 2 2 4" xfId="17815" xr:uid="{900CC302-4E5B-453E-98CF-AB5EA3648628}"/>
    <cellStyle name="Normal 2 4 2 4 2 2 2 5" xfId="9341" xr:uid="{58740B3F-29B1-46BD-A60C-970D77D1ECBF}"/>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4591" xr:uid="{D0605F92-D49A-4B3E-ACFE-E635E777D01A}"/>
    <cellStyle name="Normal 2 4 2 4 2 2 3 2 2 3" xfId="16150" xr:uid="{A9FC9F4D-21BF-44DB-ABA5-BCD2BF9FFFDB}"/>
    <cellStyle name="Normal 2 4 2 4 2 2 3 2 3" xfId="20373" xr:uid="{290EE2EC-65C4-46DD-8596-57B79F09EE6A}"/>
    <cellStyle name="Normal 2 4 2 4 2 2 3 2 4" xfId="11931" xr:uid="{7EF32B31-3E1E-4C2B-AFFA-B894A7D52D6E}"/>
    <cellStyle name="Normal 2 4 2 4 2 2 3 3" xfId="5511" xr:uid="{00000000-0005-0000-0000-0000400F0000}"/>
    <cellStyle name="Normal 2 4 2 4 2 2 3 3 2" xfId="22446" xr:uid="{64D4CE33-2CA4-4BA4-91BF-7C33B743D734}"/>
    <cellStyle name="Normal 2 4 2 4 2 2 3 3 3" xfId="14005" xr:uid="{5CD38BC4-FB54-4D36-995A-891EA29B8F05}"/>
    <cellStyle name="Normal 2 4 2 4 2 2 3 4" xfId="18228" xr:uid="{3CAB695F-6F54-4874-80F4-167D3887FD66}"/>
    <cellStyle name="Normal 2 4 2 4 2 2 3 5" xfId="9754" xr:uid="{82E24391-C803-4A0D-A955-0514837DA5CC}"/>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5004" xr:uid="{8CC6074E-2504-4D53-B644-9AE07564C31D}"/>
    <cellStyle name="Normal 2 4 2 4 2 2 4 2 2 3" xfId="16563" xr:uid="{BD7C5673-9E09-479A-9142-403A709F4E55}"/>
    <cellStyle name="Normal 2 4 2 4 2 2 4 2 3" xfId="20786" xr:uid="{F95DFC6B-B1E7-4D8D-B38F-66616097165C}"/>
    <cellStyle name="Normal 2 4 2 4 2 2 4 2 4" xfId="12344" xr:uid="{2E88C56A-F518-4A68-82C3-AFAB147357B7}"/>
    <cellStyle name="Normal 2 4 2 4 2 2 4 3" xfId="5924" xr:uid="{00000000-0005-0000-0000-0000440F0000}"/>
    <cellStyle name="Normal 2 4 2 4 2 2 4 3 2" xfId="22859" xr:uid="{A4DA2033-7E2C-46E4-950E-0D4366BE9EFB}"/>
    <cellStyle name="Normal 2 4 2 4 2 2 4 3 3" xfId="14418" xr:uid="{57608E5F-200B-49A3-A622-B47C2DBAB66F}"/>
    <cellStyle name="Normal 2 4 2 4 2 2 4 4" xfId="18641" xr:uid="{963DC24A-E708-459D-8CE6-DA101E0D3584}"/>
    <cellStyle name="Normal 2 4 2 4 2 2 4 5" xfId="10167" xr:uid="{FDAC5666-19AE-42AB-B02B-F2BAC1B77FEA}"/>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5417" xr:uid="{9977B50E-F46F-48FA-92DD-29128EB124FD}"/>
    <cellStyle name="Normal 2 4 2 4 2 2 5 2 2 3" xfId="16976" xr:uid="{D9255C37-411E-46BA-8A20-B45A70994B96}"/>
    <cellStyle name="Normal 2 4 2 4 2 2 5 2 3" xfId="21199" xr:uid="{F1730FBD-8990-4299-96AF-6868CA705238}"/>
    <cellStyle name="Normal 2 4 2 4 2 2 5 2 4" xfId="12757" xr:uid="{E04DE08C-EC4D-404C-B121-9A96AC617C28}"/>
    <cellStyle name="Normal 2 4 2 4 2 2 5 3" xfId="6337" xr:uid="{00000000-0005-0000-0000-0000480F0000}"/>
    <cellStyle name="Normal 2 4 2 4 2 2 5 3 2" xfId="23272" xr:uid="{7CD84B35-41A4-4B45-A588-FE6B39F3C396}"/>
    <cellStyle name="Normal 2 4 2 4 2 2 5 3 3" xfId="14831" xr:uid="{DF4B315A-6887-4682-9115-2C22367457E7}"/>
    <cellStyle name="Normal 2 4 2 4 2 2 5 4" xfId="19054" xr:uid="{703859A2-9092-414E-BBB7-4133C3111146}"/>
    <cellStyle name="Normal 2 4 2 4 2 2 5 5" xfId="10580" xr:uid="{AFCF4967-A88D-4825-9E37-6694D4F27DA6}"/>
    <cellStyle name="Normal 2 4 2 4 2 2 6" xfId="2467" xr:uid="{00000000-0005-0000-0000-0000490F0000}"/>
    <cellStyle name="Normal 2 4 2 4 2 2 6 2" xfId="6750" xr:uid="{00000000-0005-0000-0000-00004A0F0000}"/>
    <cellStyle name="Normal 2 4 2 4 2 2 6 2 2" xfId="23685" xr:uid="{2A21BDD5-6A17-4FD4-8CE2-9D32DA1C9366}"/>
    <cellStyle name="Normal 2 4 2 4 2 2 6 2 3" xfId="15244" xr:uid="{8F9B00FB-F028-46F4-B9F2-507F0CAC5356}"/>
    <cellStyle name="Normal 2 4 2 4 2 2 6 3" xfId="19467" xr:uid="{9BE01714-6CD9-4732-854D-42FF316DFC1C}"/>
    <cellStyle name="Normal 2 4 2 4 2 2 6 4" xfId="11015" xr:uid="{2C3933E2-40A2-4482-8BA1-3990BAEDF727}"/>
    <cellStyle name="Normal 2 4 2 4 2 2 7" xfId="4684" xr:uid="{00000000-0005-0000-0000-00004B0F0000}"/>
    <cellStyle name="Normal 2 4 2 4 2 2 7 2" xfId="21619" xr:uid="{D25E3A82-5418-4167-92E7-F0C9DF6D395F}"/>
    <cellStyle name="Normal 2 4 2 4 2 2 7 3" xfId="13178" xr:uid="{A71BBB86-B89B-43A8-8FED-C842B4219519}"/>
    <cellStyle name="Normal 2 4 2 4 2 2 8" xfId="17401" xr:uid="{3B640EE0-41E4-4178-85DC-784A38040228}"/>
    <cellStyle name="Normal 2 4 2 4 2 2 9" xfId="8926" xr:uid="{0DF38E56-84A4-43F8-8C87-F4B255A6D59D}"/>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4177" xr:uid="{35C0EEA9-EF9A-403D-AE05-EAF0DB9821FE}"/>
    <cellStyle name="Normal 2 4 2 4 2 3 2 2 3" xfId="15736" xr:uid="{D468B278-E6B7-480A-A7DA-9C2A066011F1}"/>
    <cellStyle name="Normal 2 4 2 4 2 3 2 3" xfId="19959" xr:uid="{39F333C3-9B80-4CB0-8C65-187C4C1397F1}"/>
    <cellStyle name="Normal 2 4 2 4 2 3 2 4" xfId="11517" xr:uid="{CC68EDDD-F9A9-4792-B17F-E0CF7768D72B}"/>
    <cellStyle name="Normal 2 4 2 4 2 3 3" xfId="5097" xr:uid="{00000000-0005-0000-0000-00004F0F0000}"/>
    <cellStyle name="Normal 2 4 2 4 2 3 3 2" xfId="22032" xr:uid="{2ED02758-B6F5-477C-8926-972ECD96F9E9}"/>
    <cellStyle name="Normal 2 4 2 4 2 3 3 3" xfId="13591" xr:uid="{25D2A71E-CF93-48ED-AB25-D3E06B1A6BD5}"/>
    <cellStyle name="Normal 2 4 2 4 2 3 4" xfId="17814" xr:uid="{65140449-F0EC-4005-976D-92471638FB60}"/>
    <cellStyle name="Normal 2 4 2 4 2 3 5" xfId="9340" xr:uid="{844E19F4-EEEC-4AF2-9ECE-BD265C35E1EA}"/>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4590" xr:uid="{5CF74BDC-88B4-4405-BA9A-319A6C7D469F}"/>
    <cellStyle name="Normal 2 4 2 4 2 4 2 2 3" xfId="16149" xr:uid="{0360BDCE-712F-44F4-99A0-95D1A303CA3B}"/>
    <cellStyle name="Normal 2 4 2 4 2 4 2 3" xfId="20372" xr:uid="{B49B3B51-B80C-4E62-99AD-F1EB952D6D32}"/>
    <cellStyle name="Normal 2 4 2 4 2 4 2 4" xfId="11930" xr:uid="{06FED8BD-74B7-43E9-AF60-D8DB90C36739}"/>
    <cellStyle name="Normal 2 4 2 4 2 4 3" xfId="5510" xr:uid="{00000000-0005-0000-0000-0000530F0000}"/>
    <cellStyle name="Normal 2 4 2 4 2 4 3 2" xfId="22445" xr:uid="{A33023A7-CF94-4051-8D71-835174B07283}"/>
    <cellStyle name="Normal 2 4 2 4 2 4 3 3" xfId="14004" xr:uid="{C8705879-499D-42F5-8FE1-855BF659FBBD}"/>
    <cellStyle name="Normal 2 4 2 4 2 4 4" xfId="18227" xr:uid="{ED6C0EC4-7F7B-4EAF-8855-FB08E91C0894}"/>
    <cellStyle name="Normal 2 4 2 4 2 4 5" xfId="9753" xr:uid="{B168E425-644D-4A89-BCAF-39C807D434B6}"/>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5003" xr:uid="{32A8CC7B-FBBF-4CFE-9801-AC8431750790}"/>
    <cellStyle name="Normal 2 4 2 4 2 5 2 2 3" xfId="16562" xr:uid="{C593AEF2-6A67-416F-8538-1FB5E471B964}"/>
    <cellStyle name="Normal 2 4 2 4 2 5 2 3" xfId="20785" xr:uid="{547EE3C6-19F3-465E-B2D5-E02346751FF7}"/>
    <cellStyle name="Normal 2 4 2 4 2 5 2 4" xfId="12343" xr:uid="{842D12D3-C745-478C-804B-421D98C53A07}"/>
    <cellStyle name="Normal 2 4 2 4 2 5 3" xfId="5923" xr:uid="{00000000-0005-0000-0000-0000570F0000}"/>
    <cellStyle name="Normal 2 4 2 4 2 5 3 2" xfId="22858" xr:uid="{A3F24245-E2A1-417F-A136-9CA35B9195F1}"/>
    <cellStyle name="Normal 2 4 2 4 2 5 3 3" xfId="14417" xr:uid="{EA5A3FF8-821B-467A-8325-AC111D9C46A3}"/>
    <cellStyle name="Normal 2 4 2 4 2 5 4" xfId="18640" xr:uid="{6B78FEA6-8C9B-49E3-B063-A32505AECA81}"/>
    <cellStyle name="Normal 2 4 2 4 2 5 5" xfId="10166" xr:uid="{6224C183-2FE4-4075-AC93-3CD765764A7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5416" xr:uid="{E08BE696-C87E-4B67-B9F3-338818612656}"/>
    <cellStyle name="Normal 2 4 2 4 2 6 2 2 3" xfId="16975" xr:uid="{A0A7EB6D-F567-42A7-9507-E2B974B7F09A}"/>
    <cellStyle name="Normal 2 4 2 4 2 6 2 3" xfId="21198" xr:uid="{79C0B27A-B7B0-4E3F-86D8-FD0A2FF743A7}"/>
    <cellStyle name="Normal 2 4 2 4 2 6 2 4" xfId="12756" xr:uid="{40C1094A-8DCD-4A91-B4E5-FEF1645BD38C}"/>
    <cellStyle name="Normal 2 4 2 4 2 6 3" xfId="6336" xr:uid="{00000000-0005-0000-0000-00005B0F0000}"/>
    <cellStyle name="Normal 2 4 2 4 2 6 3 2" xfId="23271" xr:uid="{278AA3AE-2AFB-4557-AFF4-021EF6AE2E84}"/>
    <cellStyle name="Normal 2 4 2 4 2 6 3 3" xfId="14830" xr:uid="{AFCEFC3F-8265-4426-9B7E-2154E0871A22}"/>
    <cellStyle name="Normal 2 4 2 4 2 6 4" xfId="19053" xr:uid="{1057451D-282C-4CD6-A43C-32FA6C37435F}"/>
    <cellStyle name="Normal 2 4 2 4 2 6 5" xfId="10579" xr:uid="{0ECDB8D9-5347-4AC9-B015-66E63B49E380}"/>
    <cellStyle name="Normal 2 4 2 4 2 7" xfId="2466" xr:uid="{00000000-0005-0000-0000-00005C0F0000}"/>
    <cellStyle name="Normal 2 4 2 4 2 7 2" xfId="6749" xr:uid="{00000000-0005-0000-0000-00005D0F0000}"/>
    <cellStyle name="Normal 2 4 2 4 2 7 2 2" xfId="23684" xr:uid="{20E8EC4F-9F49-4A69-8248-B07B524EE2B9}"/>
    <cellStyle name="Normal 2 4 2 4 2 7 2 3" xfId="15243" xr:uid="{DE2BCA22-0807-4C6C-9612-5B6799DE4480}"/>
    <cellStyle name="Normal 2 4 2 4 2 7 3" xfId="19466" xr:uid="{9E129161-4785-4597-8439-6C00102255B7}"/>
    <cellStyle name="Normal 2 4 2 4 2 7 4" xfId="11014" xr:uid="{8D5DD8D3-15E7-47DA-BE53-14132D899027}"/>
    <cellStyle name="Normal 2 4 2 4 2 8" xfId="4683" xr:uid="{00000000-0005-0000-0000-00005E0F0000}"/>
    <cellStyle name="Normal 2 4 2 4 2 8 2" xfId="21618" xr:uid="{EEB72AC3-8367-45E1-A9C8-7C9C62D7DEC5}"/>
    <cellStyle name="Normal 2 4 2 4 2 8 3" xfId="13177" xr:uid="{839330EB-80B4-4388-A44B-0E088375D9C6}"/>
    <cellStyle name="Normal 2 4 2 4 2 9" xfId="17400" xr:uid="{021AB2B1-D3B4-432A-9F54-180F8300F1F7}"/>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4179" xr:uid="{05FC8607-6C8F-4A65-9DE8-B54066DD1A07}"/>
    <cellStyle name="Normal 2 4 2 4 3 2 2 2 3" xfId="15738" xr:uid="{CAF8CC8E-312F-4392-B7F4-B7C72CD163E7}"/>
    <cellStyle name="Normal 2 4 2 4 3 2 2 3" xfId="19961" xr:uid="{5ABF2422-A2D5-43FA-AEEB-2B86C193BB34}"/>
    <cellStyle name="Normal 2 4 2 4 3 2 2 4" xfId="11519" xr:uid="{F7203EA4-FBAF-4043-8528-944A31BCDA19}"/>
    <cellStyle name="Normal 2 4 2 4 3 2 3" xfId="5099" xr:uid="{00000000-0005-0000-0000-0000630F0000}"/>
    <cellStyle name="Normal 2 4 2 4 3 2 3 2" xfId="22034" xr:uid="{867181B2-0FBD-48AE-8B4E-DF20CC0E82D2}"/>
    <cellStyle name="Normal 2 4 2 4 3 2 3 3" xfId="13593" xr:uid="{B6E3D0FD-F5FB-4EAD-8D64-6D0DEA7A9FB0}"/>
    <cellStyle name="Normal 2 4 2 4 3 2 4" xfId="17816" xr:uid="{2F97008F-4803-4DEC-9DF6-A14B41D427C1}"/>
    <cellStyle name="Normal 2 4 2 4 3 2 5" xfId="9342" xr:uid="{AA24900F-C52E-4F50-A60F-C049639B5619}"/>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4592" xr:uid="{B7E1641D-C977-4B3B-9DD1-0B98FE7F6DBE}"/>
    <cellStyle name="Normal 2 4 2 4 3 3 2 2 3" xfId="16151" xr:uid="{73482D90-950C-47B2-8267-952AEFBC4A7A}"/>
    <cellStyle name="Normal 2 4 2 4 3 3 2 3" xfId="20374" xr:uid="{E28779E5-D644-430C-84C3-FA4A0CD85192}"/>
    <cellStyle name="Normal 2 4 2 4 3 3 2 4" xfId="11932" xr:uid="{4762C8C9-3AFE-4DBE-8FDD-806132EB29FF}"/>
    <cellStyle name="Normal 2 4 2 4 3 3 3" xfId="5512" xr:uid="{00000000-0005-0000-0000-0000670F0000}"/>
    <cellStyle name="Normal 2 4 2 4 3 3 3 2" xfId="22447" xr:uid="{8C5FA2B8-4380-4637-85D7-111257E8AD3C}"/>
    <cellStyle name="Normal 2 4 2 4 3 3 3 3" xfId="14006" xr:uid="{883233E9-9769-46D1-94D3-E8190E63D7CD}"/>
    <cellStyle name="Normal 2 4 2 4 3 3 4" xfId="18229" xr:uid="{1F13C2A1-E628-4B64-8DC0-2C819A9CB74E}"/>
    <cellStyle name="Normal 2 4 2 4 3 3 5" xfId="9755" xr:uid="{3D810656-55FD-47D5-8B16-A7D77D99400C}"/>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5005" xr:uid="{8F1EC3F2-3EDE-4C4E-9536-9003E951A97B}"/>
    <cellStyle name="Normal 2 4 2 4 3 4 2 2 3" xfId="16564" xr:uid="{DEF0BAB1-0E91-464F-98C3-04398BDEEB7C}"/>
    <cellStyle name="Normal 2 4 2 4 3 4 2 3" xfId="20787" xr:uid="{DE625ACA-C77E-4975-A7B7-DA6A763C05F1}"/>
    <cellStyle name="Normal 2 4 2 4 3 4 2 4" xfId="12345" xr:uid="{7AC1466C-A5D7-4D52-9CE0-FD42B63B4B2D}"/>
    <cellStyle name="Normal 2 4 2 4 3 4 3" xfId="5925" xr:uid="{00000000-0005-0000-0000-00006B0F0000}"/>
    <cellStyle name="Normal 2 4 2 4 3 4 3 2" xfId="22860" xr:uid="{DBF4A245-09D3-4F14-B65A-D9B9E1E770A2}"/>
    <cellStyle name="Normal 2 4 2 4 3 4 3 3" xfId="14419" xr:uid="{A64B546A-1397-4124-8828-FC5CAADAAF95}"/>
    <cellStyle name="Normal 2 4 2 4 3 4 4" xfId="18642" xr:uid="{0FADAB2D-7E5C-4617-B720-283FAFC41FFB}"/>
    <cellStyle name="Normal 2 4 2 4 3 4 5" xfId="10168" xr:uid="{2FAD3E35-1BC6-4025-B04B-1C2D5F076395}"/>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5418" xr:uid="{E350EFA7-B6CA-427F-84FD-D6C3434D0D57}"/>
    <cellStyle name="Normal 2 4 2 4 3 5 2 2 3" xfId="16977" xr:uid="{43F88B40-C61C-4265-BDE2-489B2F783C7C}"/>
    <cellStyle name="Normal 2 4 2 4 3 5 2 3" xfId="21200" xr:uid="{96A21C6C-5826-4080-8F22-054F73D3DDDD}"/>
    <cellStyle name="Normal 2 4 2 4 3 5 2 4" xfId="12758" xr:uid="{1532E7CF-FC44-4D33-9AD1-F47B4E40D2EF}"/>
    <cellStyle name="Normal 2 4 2 4 3 5 3" xfId="6338" xr:uid="{00000000-0005-0000-0000-00006F0F0000}"/>
    <cellStyle name="Normal 2 4 2 4 3 5 3 2" xfId="23273" xr:uid="{80E00944-5135-40BC-BF70-AA3BCF64A40A}"/>
    <cellStyle name="Normal 2 4 2 4 3 5 3 3" xfId="14832" xr:uid="{041946CF-B700-49A3-A1CB-6C71DF5FDF3E}"/>
    <cellStyle name="Normal 2 4 2 4 3 5 4" xfId="19055" xr:uid="{86C3FA87-9D8C-4BB6-B48A-E28DD96C7F34}"/>
    <cellStyle name="Normal 2 4 2 4 3 5 5" xfId="10581" xr:uid="{EECE3E3D-AEC7-4911-B85C-ACF90B6387D9}"/>
    <cellStyle name="Normal 2 4 2 4 3 6" xfId="2468" xr:uid="{00000000-0005-0000-0000-0000700F0000}"/>
    <cellStyle name="Normal 2 4 2 4 3 6 2" xfId="6751" xr:uid="{00000000-0005-0000-0000-0000710F0000}"/>
    <cellStyle name="Normal 2 4 2 4 3 6 2 2" xfId="23686" xr:uid="{AAD65F57-C65A-4B10-97B1-2A1A894CB00E}"/>
    <cellStyle name="Normal 2 4 2 4 3 6 2 3" xfId="15245" xr:uid="{2EE4A1A2-7ACC-4AD3-BFD7-9F8C5BFDEF45}"/>
    <cellStyle name="Normal 2 4 2 4 3 6 3" xfId="19468" xr:uid="{3DECC8FE-9683-4E1B-9B07-D33F2C98F5AE}"/>
    <cellStyle name="Normal 2 4 2 4 3 6 4" xfId="11016" xr:uid="{D48C3A52-6BF1-45EF-8953-1C850D54272D}"/>
    <cellStyle name="Normal 2 4 2 4 3 7" xfId="4685" xr:uid="{00000000-0005-0000-0000-0000720F0000}"/>
    <cellStyle name="Normal 2 4 2 4 3 7 2" xfId="21620" xr:uid="{34E14BFA-8E69-41CD-8E22-5FE2576EA7BE}"/>
    <cellStyle name="Normal 2 4 2 4 3 7 3" xfId="13179" xr:uid="{8362691C-B717-45A4-848D-DA4D84C34544}"/>
    <cellStyle name="Normal 2 4 2 4 3 8" xfId="17402" xr:uid="{36C34F9F-C14E-4865-81FD-475E89B074E5}"/>
    <cellStyle name="Normal 2 4 2 4 3 9" xfId="8927" xr:uid="{095EEE2E-A027-4687-A13C-4EBCAB80B7D4}"/>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4176" xr:uid="{3A0DE6B7-CF35-44E5-9FE6-C3B01C04538B}"/>
    <cellStyle name="Normal 2 4 2 4 4 2 2 3" xfId="15735" xr:uid="{79A02E67-6099-4F64-A6AF-3352E2155021}"/>
    <cellStyle name="Normal 2 4 2 4 4 2 3" xfId="19958" xr:uid="{42C2AE79-7130-4E4F-8B99-CCC921A91B37}"/>
    <cellStyle name="Normal 2 4 2 4 4 2 4" xfId="11516" xr:uid="{406EF7DB-0F53-4230-A06A-33914B2361B4}"/>
    <cellStyle name="Normal 2 4 2 4 4 3" xfId="5096" xr:uid="{00000000-0005-0000-0000-0000760F0000}"/>
    <cellStyle name="Normal 2 4 2 4 4 3 2" xfId="22031" xr:uid="{EDABE832-B6A0-4803-B28A-B80AE9444087}"/>
    <cellStyle name="Normal 2 4 2 4 4 3 3" xfId="13590" xr:uid="{961FF9D1-8689-4FB7-9EFF-1FCAA6A2CEDE}"/>
    <cellStyle name="Normal 2 4 2 4 4 4" xfId="17813" xr:uid="{DBB2AC67-C8C5-4CBA-95AF-BFA4278A5BBC}"/>
    <cellStyle name="Normal 2 4 2 4 4 5" xfId="9339" xr:uid="{7C1FA9A0-5685-4E0F-BF03-5D841171E5B2}"/>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4589" xr:uid="{2784D25B-DD63-464A-80F9-4200BE3EC285}"/>
    <cellStyle name="Normal 2 4 2 4 5 2 2 3" xfId="16148" xr:uid="{F0AE8F3B-9539-47FA-8A18-300DD576A29A}"/>
    <cellStyle name="Normal 2 4 2 4 5 2 3" xfId="20371" xr:uid="{16A42AF6-7AD4-486C-9C91-CCEE43DB0CAE}"/>
    <cellStyle name="Normal 2 4 2 4 5 2 4" xfId="11929" xr:uid="{838D5D06-9F07-4D4B-9028-6996AD8EF598}"/>
    <cellStyle name="Normal 2 4 2 4 5 3" xfId="5509" xr:uid="{00000000-0005-0000-0000-00007A0F0000}"/>
    <cellStyle name="Normal 2 4 2 4 5 3 2" xfId="22444" xr:uid="{736EEFC1-3B47-435D-8A89-DFDA346A2EDC}"/>
    <cellStyle name="Normal 2 4 2 4 5 3 3" xfId="14003" xr:uid="{6447B8DC-0CF0-44DB-A88B-9557C3FFD25F}"/>
    <cellStyle name="Normal 2 4 2 4 5 4" xfId="18226" xr:uid="{C671D530-83B6-4B48-946D-1C8CF8335061}"/>
    <cellStyle name="Normal 2 4 2 4 5 5" xfId="9752" xr:uid="{1FABB5C0-1803-49AE-8FD6-85637097C1B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5002" xr:uid="{3C94BC10-5075-4EE1-A78A-5EF90AD8FCD3}"/>
    <cellStyle name="Normal 2 4 2 4 6 2 2 3" xfId="16561" xr:uid="{91D4092F-CF77-4661-8186-E68D0CEE2771}"/>
    <cellStyle name="Normal 2 4 2 4 6 2 3" xfId="20784" xr:uid="{10355E29-F173-4632-9EF7-7705FE361DE7}"/>
    <cellStyle name="Normal 2 4 2 4 6 2 4" xfId="12342" xr:uid="{97EA2F87-1153-4423-854C-A7915C4F4118}"/>
    <cellStyle name="Normal 2 4 2 4 6 3" xfId="5922" xr:uid="{00000000-0005-0000-0000-00007E0F0000}"/>
    <cellStyle name="Normal 2 4 2 4 6 3 2" xfId="22857" xr:uid="{DFB66401-C087-4139-822B-B0350E7F9585}"/>
    <cellStyle name="Normal 2 4 2 4 6 3 3" xfId="14416" xr:uid="{A2A7A7DA-7297-4B5F-939C-1295CEA33B38}"/>
    <cellStyle name="Normal 2 4 2 4 6 4" xfId="18639" xr:uid="{3A14FE80-3F1C-4556-A7B6-4E64B0BD6069}"/>
    <cellStyle name="Normal 2 4 2 4 6 5" xfId="10165" xr:uid="{680156F3-8EE8-4EB8-BBE0-280D460A8E3D}"/>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5415" xr:uid="{C9C24FDE-0E48-4714-BB11-33C32419B718}"/>
    <cellStyle name="Normal 2 4 2 4 7 2 2 3" xfId="16974" xr:uid="{2B435638-8AB8-4150-85F9-C52698402F27}"/>
    <cellStyle name="Normal 2 4 2 4 7 2 3" xfId="21197" xr:uid="{F14B936D-B80E-46BF-9CEE-E5460A656EC4}"/>
    <cellStyle name="Normal 2 4 2 4 7 2 4" xfId="12755" xr:uid="{DDFF9B53-805F-4374-B467-E1A1EBFEA253}"/>
    <cellStyle name="Normal 2 4 2 4 7 3" xfId="6335" xr:uid="{00000000-0005-0000-0000-0000820F0000}"/>
    <cellStyle name="Normal 2 4 2 4 7 3 2" xfId="23270" xr:uid="{0B6F6D1C-24DA-4EDD-AF28-88166983E09B}"/>
    <cellStyle name="Normal 2 4 2 4 7 3 3" xfId="14829" xr:uid="{E3187D57-AA1E-4E61-B583-C32B27CF29EF}"/>
    <cellStyle name="Normal 2 4 2 4 7 4" xfId="19052" xr:uid="{5251344F-FF39-4DB8-BFD4-33236E12FBD4}"/>
    <cellStyle name="Normal 2 4 2 4 7 5" xfId="10578" xr:uid="{61695DA9-E7EB-42CC-AB61-40161B8463CA}"/>
    <cellStyle name="Normal 2 4 2 4 8" xfId="2465" xr:uid="{00000000-0005-0000-0000-0000830F0000}"/>
    <cellStyle name="Normal 2 4 2 4 8 2" xfId="6748" xr:uid="{00000000-0005-0000-0000-0000840F0000}"/>
    <cellStyle name="Normal 2 4 2 4 8 2 2" xfId="23683" xr:uid="{133672E8-C990-4F7B-8AEF-902C9E6E3C61}"/>
    <cellStyle name="Normal 2 4 2 4 8 2 3" xfId="15242" xr:uid="{EBD35502-50B8-4ECF-AB37-11E5D92699C4}"/>
    <cellStyle name="Normal 2 4 2 4 8 3" xfId="19465" xr:uid="{C55055C1-21EE-47C5-8858-A8B4E941F05B}"/>
    <cellStyle name="Normal 2 4 2 4 8 4" xfId="11013" xr:uid="{9722CC18-57F4-43CF-A501-9B5F4D6D7A7C}"/>
    <cellStyle name="Normal 2 4 2 4 9" xfId="4682" xr:uid="{00000000-0005-0000-0000-0000850F0000}"/>
    <cellStyle name="Normal 2 4 2 4 9 2" xfId="21617" xr:uid="{4E192CF0-5F99-4FCE-9753-B6C4B14C40DA}"/>
    <cellStyle name="Normal 2 4 2 4 9 3" xfId="13176" xr:uid="{B124A5B0-0F4D-482B-87C7-0C892358FB15}"/>
    <cellStyle name="Normal 2 4 2 5" xfId="293" xr:uid="{00000000-0005-0000-0000-0000860F0000}"/>
    <cellStyle name="Normal 2 4 2 5 10" xfId="8928" xr:uid="{71E10975-27AB-4646-82D8-E47A05A05915}"/>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4181" xr:uid="{551EBAA0-6259-454D-9127-B372914F800A}"/>
    <cellStyle name="Normal 2 4 2 5 2 2 2 2 3" xfId="15740" xr:uid="{A0590F15-BFEB-4B58-8B69-366F8A752F4E}"/>
    <cellStyle name="Normal 2 4 2 5 2 2 2 3" xfId="19963" xr:uid="{C8AFAD94-988A-4DDA-ACD4-839F0CBA75AA}"/>
    <cellStyle name="Normal 2 4 2 5 2 2 2 4" xfId="11521" xr:uid="{29CD595D-CD2A-4642-9E58-F7146D58BC47}"/>
    <cellStyle name="Normal 2 4 2 5 2 2 3" xfId="5101" xr:uid="{00000000-0005-0000-0000-00008B0F0000}"/>
    <cellStyle name="Normal 2 4 2 5 2 2 3 2" xfId="22036" xr:uid="{1E94E5DA-F5C5-4121-B249-E77B3EA88094}"/>
    <cellStyle name="Normal 2 4 2 5 2 2 3 3" xfId="13595" xr:uid="{D9E09A4F-5454-4A80-8A4D-C3C00CAC1BCC}"/>
    <cellStyle name="Normal 2 4 2 5 2 2 4" xfId="17818" xr:uid="{E08B1823-30E8-45CE-993E-E2B1A8AAA017}"/>
    <cellStyle name="Normal 2 4 2 5 2 2 5" xfId="9344" xr:uid="{BDAE4580-B393-4460-8BFA-420374E5A4CC}"/>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4594" xr:uid="{BF4BCE93-DEBF-4F37-BBCD-388CA4BF9831}"/>
    <cellStyle name="Normal 2 4 2 5 2 3 2 2 3" xfId="16153" xr:uid="{BBA38A6B-A03E-4823-A046-92F4780D44D8}"/>
    <cellStyle name="Normal 2 4 2 5 2 3 2 3" xfId="20376" xr:uid="{92061AF4-3794-4FF9-9046-13476491F149}"/>
    <cellStyle name="Normal 2 4 2 5 2 3 2 4" xfId="11934" xr:uid="{DE895585-AE46-401C-83FF-D207EB79BF92}"/>
    <cellStyle name="Normal 2 4 2 5 2 3 3" xfId="5514" xr:uid="{00000000-0005-0000-0000-00008F0F0000}"/>
    <cellStyle name="Normal 2 4 2 5 2 3 3 2" xfId="22449" xr:uid="{6FFBE60B-DE1B-45CA-BD3E-133AF35F045F}"/>
    <cellStyle name="Normal 2 4 2 5 2 3 3 3" xfId="14008" xr:uid="{8CA48284-F2E5-4C05-A8D6-1C480A164F98}"/>
    <cellStyle name="Normal 2 4 2 5 2 3 4" xfId="18231" xr:uid="{DDA2AB0B-F1F7-4784-825F-4367FC986D0E}"/>
    <cellStyle name="Normal 2 4 2 5 2 3 5" xfId="9757" xr:uid="{ED45672C-9A0E-4E64-968C-04A713E597BE}"/>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5007" xr:uid="{55A90542-BE2F-4C28-AC50-461A6222D661}"/>
    <cellStyle name="Normal 2 4 2 5 2 4 2 2 3" xfId="16566" xr:uid="{7BB5FD4D-B92B-418D-BEAD-6069EC725503}"/>
    <cellStyle name="Normal 2 4 2 5 2 4 2 3" xfId="20789" xr:uid="{249F5468-2AB9-44A3-8217-325C8E50B5CA}"/>
    <cellStyle name="Normal 2 4 2 5 2 4 2 4" xfId="12347" xr:uid="{44A231B0-D88B-4846-B0C8-B1E2A6E66302}"/>
    <cellStyle name="Normal 2 4 2 5 2 4 3" xfId="5927" xr:uid="{00000000-0005-0000-0000-0000930F0000}"/>
    <cellStyle name="Normal 2 4 2 5 2 4 3 2" xfId="22862" xr:uid="{5CE47DA2-DABC-4D57-826E-39B9BB06800A}"/>
    <cellStyle name="Normal 2 4 2 5 2 4 3 3" xfId="14421" xr:uid="{C2ADD2E7-6140-4505-A45B-07AFAA61C32B}"/>
    <cellStyle name="Normal 2 4 2 5 2 4 4" xfId="18644" xr:uid="{50D2EA89-E7F7-4BBA-BB1B-88CB3BCB3FA9}"/>
    <cellStyle name="Normal 2 4 2 5 2 4 5" xfId="10170" xr:uid="{DE87549D-01F6-42A7-A612-85EF044A6D1C}"/>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5420" xr:uid="{7087B351-DDF6-47E0-970D-B8A938AAB0F1}"/>
    <cellStyle name="Normal 2 4 2 5 2 5 2 2 3" xfId="16979" xr:uid="{6DFE7DEC-4F00-4552-82FD-5478FE6DBF67}"/>
    <cellStyle name="Normal 2 4 2 5 2 5 2 3" xfId="21202" xr:uid="{44F0E2F1-63B9-499E-A223-8F22FFF7C0B4}"/>
    <cellStyle name="Normal 2 4 2 5 2 5 2 4" xfId="12760" xr:uid="{A691AFCE-EBF8-4547-8BFA-315B964CB014}"/>
    <cellStyle name="Normal 2 4 2 5 2 5 3" xfId="6340" xr:uid="{00000000-0005-0000-0000-0000970F0000}"/>
    <cellStyle name="Normal 2 4 2 5 2 5 3 2" xfId="23275" xr:uid="{37C421F1-E11C-486B-9F14-A319BB2FF11C}"/>
    <cellStyle name="Normal 2 4 2 5 2 5 3 3" xfId="14834" xr:uid="{4416AA4F-38AE-4A19-9910-E3397254AD3E}"/>
    <cellStyle name="Normal 2 4 2 5 2 5 4" xfId="19057" xr:uid="{8FC85F76-2C7A-40F3-88EE-C22B86EAC004}"/>
    <cellStyle name="Normal 2 4 2 5 2 5 5" xfId="10583" xr:uid="{08264DCF-8D9B-408F-B878-5768E429FECA}"/>
    <cellStyle name="Normal 2 4 2 5 2 6" xfId="2470" xr:uid="{00000000-0005-0000-0000-0000980F0000}"/>
    <cellStyle name="Normal 2 4 2 5 2 6 2" xfId="6753" xr:uid="{00000000-0005-0000-0000-0000990F0000}"/>
    <cellStyle name="Normal 2 4 2 5 2 6 2 2" xfId="23688" xr:uid="{92F11A29-F959-41F8-BFFF-2F008BB3E7F9}"/>
    <cellStyle name="Normal 2 4 2 5 2 6 2 3" xfId="15247" xr:uid="{66181644-4B67-4200-BCEA-C0914E49F604}"/>
    <cellStyle name="Normal 2 4 2 5 2 6 3" xfId="19470" xr:uid="{57ED0750-B877-46E2-8659-4FDC2C523181}"/>
    <cellStyle name="Normal 2 4 2 5 2 6 4" xfId="11018" xr:uid="{C7112AFE-423D-4D48-8769-EFB7E4E9455C}"/>
    <cellStyle name="Normal 2 4 2 5 2 7" xfId="4687" xr:uid="{00000000-0005-0000-0000-00009A0F0000}"/>
    <cellStyle name="Normal 2 4 2 5 2 7 2" xfId="21622" xr:uid="{1833F103-E73F-4D8E-A93B-6DE03FC6471E}"/>
    <cellStyle name="Normal 2 4 2 5 2 7 3" xfId="13181" xr:uid="{9DCB28CB-88D2-4978-8671-3FC960F6252E}"/>
    <cellStyle name="Normal 2 4 2 5 2 8" xfId="17404" xr:uid="{F428D2F1-00A2-4673-8D9F-7D725C569218}"/>
    <cellStyle name="Normal 2 4 2 5 2 9" xfId="8929" xr:uid="{D1EEB5F6-5993-4477-8C2A-5DA72B1784A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4180" xr:uid="{82BF118A-4DB5-415E-8056-74FA39A86BD1}"/>
    <cellStyle name="Normal 2 4 2 5 3 2 2 3" xfId="15739" xr:uid="{EA1265FF-336E-4771-B117-41A5AF7C2A18}"/>
    <cellStyle name="Normal 2 4 2 5 3 2 3" xfId="19962" xr:uid="{654B0956-21CB-42C7-92FD-845D2B426F45}"/>
    <cellStyle name="Normal 2 4 2 5 3 2 4" xfId="11520" xr:uid="{2CAFC574-28A7-4AE1-BE13-DB6B77BC1AE7}"/>
    <cellStyle name="Normal 2 4 2 5 3 3" xfId="5100" xr:uid="{00000000-0005-0000-0000-00009E0F0000}"/>
    <cellStyle name="Normal 2 4 2 5 3 3 2" xfId="22035" xr:uid="{3199C896-B0C6-4DF7-AC75-3FE3BB04FCF0}"/>
    <cellStyle name="Normal 2 4 2 5 3 3 3" xfId="13594" xr:uid="{0DE9F37C-B4D0-41A6-A267-35AC69EF95C9}"/>
    <cellStyle name="Normal 2 4 2 5 3 4" xfId="17817" xr:uid="{F3764EDD-57C8-4405-9FC2-75F81115A78D}"/>
    <cellStyle name="Normal 2 4 2 5 3 5" xfId="9343" xr:uid="{8480D7FF-F0EE-435F-9ABD-9E531C712E5E}"/>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4593" xr:uid="{8745B611-2BE6-48C7-BC70-3F777E22F9F4}"/>
    <cellStyle name="Normal 2 4 2 5 4 2 2 3" xfId="16152" xr:uid="{F6DAD61A-9DB2-4511-96AC-351F5C376A70}"/>
    <cellStyle name="Normal 2 4 2 5 4 2 3" xfId="20375" xr:uid="{8F5CAB94-424C-4A48-8E08-A3A2DB2A4C6E}"/>
    <cellStyle name="Normal 2 4 2 5 4 2 4" xfId="11933" xr:uid="{230C2754-65E3-4AFD-8C0E-FB41A52D86A0}"/>
    <cellStyle name="Normal 2 4 2 5 4 3" xfId="5513" xr:uid="{00000000-0005-0000-0000-0000A20F0000}"/>
    <cellStyle name="Normal 2 4 2 5 4 3 2" xfId="22448" xr:uid="{90DBC7AD-E361-42EC-AFC2-6D049B4B6339}"/>
    <cellStyle name="Normal 2 4 2 5 4 3 3" xfId="14007" xr:uid="{935AF360-3825-4D4E-8A99-8F132CFA8A77}"/>
    <cellStyle name="Normal 2 4 2 5 4 4" xfId="18230" xr:uid="{94F53829-303A-4BFF-B302-602B84D604B5}"/>
    <cellStyle name="Normal 2 4 2 5 4 5" xfId="9756" xr:uid="{0819FD60-843D-4EF0-9354-453529131DC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5006" xr:uid="{AD9AE1C7-B162-4B4F-B01C-1F5743DA14DA}"/>
    <cellStyle name="Normal 2 4 2 5 5 2 2 3" xfId="16565" xr:uid="{62FB9B64-6C83-4B60-8159-BBC0AF613313}"/>
    <cellStyle name="Normal 2 4 2 5 5 2 3" xfId="20788" xr:uid="{E39263A3-4B84-49CF-9827-404BF59DAEB1}"/>
    <cellStyle name="Normal 2 4 2 5 5 2 4" xfId="12346" xr:uid="{1096D113-CEF9-49A9-BF0B-028FF07EAE85}"/>
    <cellStyle name="Normal 2 4 2 5 5 3" xfId="5926" xr:uid="{00000000-0005-0000-0000-0000A60F0000}"/>
    <cellStyle name="Normal 2 4 2 5 5 3 2" xfId="22861" xr:uid="{FCB74F69-88EA-4F3B-A2A8-7747C0C7E395}"/>
    <cellStyle name="Normal 2 4 2 5 5 3 3" xfId="14420" xr:uid="{A8844D87-2444-4D64-80D3-A71820E38EEE}"/>
    <cellStyle name="Normal 2 4 2 5 5 4" xfId="18643" xr:uid="{007970D3-4EAD-45DA-80B9-369520E3FAC6}"/>
    <cellStyle name="Normal 2 4 2 5 5 5" xfId="10169" xr:uid="{2E60B68D-F8C2-47FC-AD45-68650D3DEB2F}"/>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5419" xr:uid="{DD573A86-6A1B-40CA-9712-890AE9E6A0AE}"/>
    <cellStyle name="Normal 2 4 2 5 6 2 2 3" xfId="16978" xr:uid="{E09E9547-2ABF-4385-98C8-FCDDF7F515C0}"/>
    <cellStyle name="Normal 2 4 2 5 6 2 3" xfId="21201" xr:uid="{278F24A2-C637-4DC5-8FF8-F78CEBFB76EE}"/>
    <cellStyle name="Normal 2 4 2 5 6 2 4" xfId="12759" xr:uid="{C0F5ED2E-1D12-4000-A9A4-C816FB964170}"/>
    <cellStyle name="Normal 2 4 2 5 6 3" xfId="6339" xr:uid="{00000000-0005-0000-0000-0000AA0F0000}"/>
    <cellStyle name="Normal 2 4 2 5 6 3 2" xfId="23274" xr:uid="{11585868-B997-407F-8EA0-6938812107F6}"/>
    <cellStyle name="Normal 2 4 2 5 6 3 3" xfId="14833" xr:uid="{FA644D9E-2313-48D4-8234-BDD710636E3A}"/>
    <cellStyle name="Normal 2 4 2 5 6 4" xfId="19056" xr:uid="{D1F33188-1F6F-47C6-A82E-41C43316DFA6}"/>
    <cellStyle name="Normal 2 4 2 5 6 5" xfId="10582" xr:uid="{D1F96BB0-F125-4DEB-A6D7-2BC46E804F3D}"/>
    <cellStyle name="Normal 2 4 2 5 7" xfId="2469" xr:uid="{00000000-0005-0000-0000-0000AB0F0000}"/>
    <cellStyle name="Normal 2 4 2 5 7 2" xfId="6752" xr:uid="{00000000-0005-0000-0000-0000AC0F0000}"/>
    <cellStyle name="Normal 2 4 2 5 7 2 2" xfId="23687" xr:uid="{8B7F61A7-6504-47EC-8D79-1EE83366EF7A}"/>
    <cellStyle name="Normal 2 4 2 5 7 2 3" xfId="15246" xr:uid="{1055E816-E941-49E3-834A-443C6EFBD838}"/>
    <cellStyle name="Normal 2 4 2 5 7 3" xfId="19469" xr:uid="{BCFCF9E5-2581-4770-ACB6-8311DBAD5226}"/>
    <cellStyle name="Normal 2 4 2 5 7 4" xfId="11017" xr:uid="{964A898E-C6F2-46EA-B460-9B97E1F8D119}"/>
    <cellStyle name="Normal 2 4 2 5 8" xfId="4686" xr:uid="{00000000-0005-0000-0000-0000AD0F0000}"/>
    <cellStyle name="Normal 2 4 2 5 8 2" xfId="21621" xr:uid="{CE9D18A9-0B0E-4D32-9571-65157188EEFF}"/>
    <cellStyle name="Normal 2 4 2 5 8 3" xfId="13180" xr:uid="{3A3A0D2E-5148-4ACB-83FD-3DBFB684AF24}"/>
    <cellStyle name="Normal 2 4 2 5 9" xfId="17403" xr:uid="{66CC59F7-9BCD-4E09-9282-0E16AC02D1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4182" xr:uid="{F6EADAFD-569D-4B98-AF51-0795DA50BF8C}"/>
    <cellStyle name="Normal 2 4 2 6 2 2 2 3" xfId="15741" xr:uid="{B79EFDB8-CA8B-4145-BB1C-E40194C2C4B8}"/>
    <cellStyle name="Normal 2 4 2 6 2 2 3" xfId="19964" xr:uid="{CAC1815C-B693-4042-857F-F523D4D9478E}"/>
    <cellStyle name="Normal 2 4 2 6 2 2 4" xfId="11522" xr:uid="{F5B12954-3D88-4AFD-A833-C839C61D8897}"/>
    <cellStyle name="Normal 2 4 2 6 2 3" xfId="5102" xr:uid="{00000000-0005-0000-0000-0000B20F0000}"/>
    <cellStyle name="Normal 2 4 2 6 2 3 2" xfId="22037" xr:uid="{9B37A030-4EEE-4D96-A28C-3AAAC6AF7474}"/>
    <cellStyle name="Normal 2 4 2 6 2 3 3" xfId="13596" xr:uid="{562D4396-01B1-4D65-ACB2-85DA89ABFC5C}"/>
    <cellStyle name="Normal 2 4 2 6 2 4" xfId="17819" xr:uid="{443306E2-E316-4C04-AA54-04ADCA74F1F8}"/>
    <cellStyle name="Normal 2 4 2 6 2 5" xfId="9345" xr:uid="{23517CAB-B69B-446C-B525-BD780142EF3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4595" xr:uid="{EC4F6505-3356-4345-A756-FE65AAE3607C}"/>
    <cellStyle name="Normal 2 4 2 6 3 2 2 3" xfId="16154" xr:uid="{89AA44E6-D12C-47E7-9869-530ED2CF3F62}"/>
    <cellStyle name="Normal 2 4 2 6 3 2 3" xfId="20377" xr:uid="{94C98CCD-9F59-4A50-9AAB-7A9141F47E44}"/>
    <cellStyle name="Normal 2 4 2 6 3 2 4" xfId="11935" xr:uid="{6088CBE3-FC94-41D9-8929-502591CF9DD1}"/>
    <cellStyle name="Normal 2 4 2 6 3 3" xfId="5515" xr:uid="{00000000-0005-0000-0000-0000B60F0000}"/>
    <cellStyle name="Normal 2 4 2 6 3 3 2" xfId="22450" xr:uid="{08CA8133-E7FD-4BE4-ACB7-1F321D998503}"/>
    <cellStyle name="Normal 2 4 2 6 3 3 3" xfId="14009" xr:uid="{1A47022F-15E0-4610-B8EE-0CA9ECA48C1A}"/>
    <cellStyle name="Normal 2 4 2 6 3 4" xfId="18232" xr:uid="{E90E062C-2A55-4129-9F49-3B8FC51E6BE9}"/>
    <cellStyle name="Normal 2 4 2 6 3 5" xfId="9758" xr:uid="{E95CA87E-F9BF-4BA5-AED3-61A63D9C8F70}"/>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5008" xr:uid="{07BD3BF7-F311-42D1-884B-18D74F45A28A}"/>
    <cellStyle name="Normal 2 4 2 6 4 2 2 3" xfId="16567" xr:uid="{5DE9F7E2-F679-472C-93ED-E10D39E0B566}"/>
    <cellStyle name="Normal 2 4 2 6 4 2 3" xfId="20790" xr:uid="{E74F4B62-E423-4735-9C4F-2C33607A5C11}"/>
    <cellStyle name="Normal 2 4 2 6 4 2 4" xfId="12348" xr:uid="{31020573-89DC-443A-8C7A-27B2F861DFD6}"/>
    <cellStyle name="Normal 2 4 2 6 4 3" xfId="5928" xr:uid="{00000000-0005-0000-0000-0000BA0F0000}"/>
    <cellStyle name="Normal 2 4 2 6 4 3 2" xfId="22863" xr:uid="{F9216F61-1088-4C28-8903-BF3AFFE18D04}"/>
    <cellStyle name="Normal 2 4 2 6 4 3 3" xfId="14422" xr:uid="{C27DF7A9-AE61-4F5B-BC21-79AA973B73A9}"/>
    <cellStyle name="Normal 2 4 2 6 4 4" xfId="18645" xr:uid="{053780D5-1350-467A-92BB-AA1D23165FBC}"/>
    <cellStyle name="Normal 2 4 2 6 4 5" xfId="10171" xr:uid="{B0FD177E-D1DB-4AD5-9C0F-BECBA3BFF67B}"/>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5421" xr:uid="{8E7ABB4C-1E7E-4978-9772-6B0EB2CB9CA1}"/>
    <cellStyle name="Normal 2 4 2 6 5 2 2 3" xfId="16980" xr:uid="{3A4065DA-13AE-479C-8BE9-DE463D1E801F}"/>
    <cellStyle name="Normal 2 4 2 6 5 2 3" xfId="21203" xr:uid="{40A07E6A-103F-4692-B083-99FD604539CD}"/>
    <cellStyle name="Normal 2 4 2 6 5 2 4" xfId="12761" xr:uid="{0568E73D-1B2C-4CCD-914D-040986B5D0E0}"/>
    <cellStyle name="Normal 2 4 2 6 5 3" xfId="6341" xr:uid="{00000000-0005-0000-0000-0000BE0F0000}"/>
    <cellStyle name="Normal 2 4 2 6 5 3 2" xfId="23276" xr:uid="{BA9C5929-C0E0-4B86-ACF0-E2EC0A44AB21}"/>
    <cellStyle name="Normal 2 4 2 6 5 3 3" xfId="14835" xr:uid="{E32757CC-C650-4256-A965-53B9F1B589EF}"/>
    <cellStyle name="Normal 2 4 2 6 5 4" xfId="19058" xr:uid="{FD16D5D2-8DB2-4273-9149-622180C1AF53}"/>
    <cellStyle name="Normal 2 4 2 6 5 5" xfId="10584" xr:uid="{4A086F1E-4D13-41A8-9064-A7A2A6B6F575}"/>
    <cellStyle name="Normal 2 4 2 6 6" xfId="2471" xr:uid="{00000000-0005-0000-0000-0000BF0F0000}"/>
    <cellStyle name="Normal 2 4 2 6 6 2" xfId="6754" xr:uid="{00000000-0005-0000-0000-0000C00F0000}"/>
    <cellStyle name="Normal 2 4 2 6 6 2 2" xfId="23689" xr:uid="{45182773-8402-4460-B781-B18080B57969}"/>
    <cellStyle name="Normal 2 4 2 6 6 2 3" xfId="15248" xr:uid="{62447629-E6F8-4C56-AB64-2AF1E41724BB}"/>
    <cellStyle name="Normal 2 4 2 6 6 3" xfId="19471" xr:uid="{A12E82D9-66F8-4ADD-AA32-320BF7938A58}"/>
    <cellStyle name="Normal 2 4 2 6 6 4" xfId="11019" xr:uid="{B8643348-6DF9-4786-837B-3F876DCFD313}"/>
    <cellStyle name="Normal 2 4 2 6 7" xfId="4688" xr:uid="{00000000-0005-0000-0000-0000C10F0000}"/>
    <cellStyle name="Normal 2 4 2 6 7 2" xfId="21623" xr:uid="{6673FB0E-7353-464A-B769-1F5AE9945E58}"/>
    <cellStyle name="Normal 2 4 2 6 7 3" xfId="13182" xr:uid="{49A4EAB3-223E-4AFA-BDF3-4EABB65F5B8E}"/>
    <cellStyle name="Normal 2 4 2 6 8" xfId="17405" xr:uid="{21031B49-75E8-4799-B1C2-A5E48AB451D5}"/>
    <cellStyle name="Normal 2 4 2 6 9" xfId="8930" xr:uid="{17A1EA5D-D9EB-493F-B3FD-225C878A91DB}"/>
    <cellStyle name="Normal 2 4 2 7" xfId="771" xr:uid="{00000000-0005-0000-0000-0000C20F0000}"/>
    <cellStyle name="Normal 2 4 2 7 2" xfId="3010" xr:uid="{00000000-0005-0000-0000-0000C30F0000}"/>
    <cellStyle name="Normal 2 4 2 7 2 2" xfId="7232" xr:uid="{00000000-0005-0000-0000-0000C40F0000}"/>
    <cellStyle name="Normal 2 4 2 7 2 2 2" xfId="24167" xr:uid="{7A8D326F-8F8F-476A-818F-6B42C806FE88}"/>
    <cellStyle name="Normal 2 4 2 7 2 2 3" xfId="15726" xr:uid="{F1A243EF-AC63-4E98-BF14-BED89DA8F760}"/>
    <cellStyle name="Normal 2 4 2 7 2 3" xfId="19949" xr:uid="{BD01E53B-3916-42C7-994F-C2FD96CD8F0D}"/>
    <cellStyle name="Normal 2 4 2 7 2 4" xfId="11507" xr:uid="{C6EAAF96-F6C7-46C3-ACC4-8095B6C3B6FD}"/>
    <cellStyle name="Normal 2 4 2 7 3" xfId="5087" xr:uid="{00000000-0005-0000-0000-0000C50F0000}"/>
    <cellStyle name="Normal 2 4 2 7 3 2" xfId="22022" xr:uid="{B1C80326-A8BE-4821-8277-9981F4D66D92}"/>
    <cellStyle name="Normal 2 4 2 7 3 3" xfId="13581" xr:uid="{26541974-C9F3-4F1C-A113-7B4970C8B5DA}"/>
    <cellStyle name="Normal 2 4 2 7 4" xfId="17804" xr:uid="{E4C52959-B7CE-44A2-B1C0-496CB5AE89A6}"/>
    <cellStyle name="Normal 2 4 2 7 5" xfId="9330" xr:uid="{2A2C1A49-5F3F-4526-A7BD-B9CC3EBFDC61}"/>
    <cellStyle name="Normal 2 4 2 8" xfId="1193" xr:uid="{00000000-0005-0000-0000-0000C60F0000}"/>
    <cellStyle name="Normal 2 4 2 8 2" xfId="3423" xr:uid="{00000000-0005-0000-0000-0000C70F0000}"/>
    <cellStyle name="Normal 2 4 2 8 2 2" xfId="7645" xr:uid="{00000000-0005-0000-0000-0000C80F0000}"/>
    <cellStyle name="Normal 2 4 2 8 2 2 2" xfId="24580" xr:uid="{23ED2E36-A221-4B43-B9E6-140A34F5458A}"/>
    <cellStyle name="Normal 2 4 2 8 2 2 3" xfId="16139" xr:uid="{E9CD85A2-03EF-4E1F-9F06-D090CD0EEFBD}"/>
    <cellStyle name="Normal 2 4 2 8 2 3" xfId="20362" xr:uid="{5D18456C-3F29-4BEF-A926-AAE39FACAE4B}"/>
    <cellStyle name="Normal 2 4 2 8 2 4" xfId="11920" xr:uid="{FC66C4F9-5CCB-45DD-B78D-36534F913731}"/>
    <cellStyle name="Normal 2 4 2 8 3" xfId="5500" xr:uid="{00000000-0005-0000-0000-0000C90F0000}"/>
    <cellStyle name="Normal 2 4 2 8 3 2" xfId="22435" xr:uid="{4A96A65C-06C0-4246-BA35-D41181CFB9B9}"/>
    <cellStyle name="Normal 2 4 2 8 3 3" xfId="13994" xr:uid="{7DFFEDF1-916A-4806-8CA3-1ADD14022EFC}"/>
    <cellStyle name="Normal 2 4 2 8 4" xfId="18217" xr:uid="{1D3F3CEB-DEF9-4457-B881-13E60626DF03}"/>
    <cellStyle name="Normal 2 4 2 8 5" xfId="9743" xr:uid="{6EED987B-311F-4FFE-8443-7D26FB00EFDE}"/>
    <cellStyle name="Normal 2 4 2 9" xfId="1606" xr:uid="{00000000-0005-0000-0000-0000CA0F0000}"/>
    <cellStyle name="Normal 2 4 2 9 2" xfId="3836" xr:uid="{00000000-0005-0000-0000-0000CB0F0000}"/>
    <cellStyle name="Normal 2 4 2 9 2 2" xfId="8058" xr:uid="{00000000-0005-0000-0000-0000CC0F0000}"/>
    <cellStyle name="Normal 2 4 2 9 2 2 2" xfId="24993" xr:uid="{F4C1F6E7-6EE5-459C-8668-463F1B123E6B}"/>
    <cellStyle name="Normal 2 4 2 9 2 2 3" xfId="16552" xr:uid="{028A431C-AB30-427E-BECC-9BBF05735091}"/>
    <cellStyle name="Normal 2 4 2 9 2 3" xfId="20775" xr:uid="{69BFB732-6485-47B2-9A07-E390457B2BD8}"/>
    <cellStyle name="Normal 2 4 2 9 2 4" xfId="12333" xr:uid="{79161921-EB5C-4319-9B6A-E2BAB76D1A3F}"/>
    <cellStyle name="Normal 2 4 2 9 3" xfId="5913" xr:uid="{00000000-0005-0000-0000-0000CD0F0000}"/>
    <cellStyle name="Normal 2 4 2 9 3 2" xfId="22848" xr:uid="{D96527D9-392A-4976-83EA-9EB6646A7B3A}"/>
    <cellStyle name="Normal 2 4 2 9 3 3" xfId="14407" xr:uid="{6FB327CB-44CB-4530-B75F-8A3599A54D8B}"/>
    <cellStyle name="Normal 2 4 2 9 4" xfId="18630" xr:uid="{FCF26161-8D8A-4A5D-AB00-4D805D705E21}"/>
    <cellStyle name="Normal 2 4 2 9 5" xfId="10156" xr:uid="{A196698E-B50B-40FC-A30C-0A5CC21BB18A}"/>
    <cellStyle name="Normal 2 4 3" xfId="296" xr:uid="{00000000-0005-0000-0000-0000CE0F0000}"/>
    <cellStyle name="Normal 2 4 3 10" xfId="17406" xr:uid="{9D7E83D9-2526-409F-BEB9-A9D8F94AF094}"/>
    <cellStyle name="Normal 2 4 3 11" xfId="8931" xr:uid="{FB840B34-6583-446D-A5A2-BB5C7C4547EF}"/>
    <cellStyle name="Normal 2 4 3 2" xfId="297" xr:uid="{00000000-0005-0000-0000-0000CF0F0000}"/>
    <cellStyle name="Normal 2 4 3 3" xfId="298" xr:uid="{00000000-0005-0000-0000-0000D00F0000}"/>
    <cellStyle name="Normal 2 4 3 3 10" xfId="17407" xr:uid="{59F5E093-C016-4025-B6F4-4E8FCB7FD6B5}"/>
    <cellStyle name="Normal 2 4 3 3 11" xfId="8932" xr:uid="{3CD09F4F-99D1-475D-8CB2-FB1F891DDD8D}"/>
    <cellStyle name="Normal 2 4 3 3 2" xfId="299" xr:uid="{00000000-0005-0000-0000-0000D10F0000}"/>
    <cellStyle name="Normal 2 4 3 3 2 10" xfId="8933" xr:uid="{EEAF945B-A987-4424-AADB-744DA247B8FA}"/>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4186" xr:uid="{7228BC2D-61FE-49C5-AD64-A486AC8FE325}"/>
    <cellStyle name="Normal 2 4 3 3 2 2 2 2 2 3" xfId="15745" xr:uid="{2CAD4EFC-70C8-4942-8CB2-EA0DBCA5C457}"/>
    <cellStyle name="Normal 2 4 3 3 2 2 2 2 3" xfId="19968" xr:uid="{F65E6199-F20C-47BF-BDB4-26FDC8EBE0B7}"/>
    <cellStyle name="Normal 2 4 3 3 2 2 2 2 4" xfId="11526" xr:uid="{69B7A756-1321-4DCF-A210-02664DDB7598}"/>
    <cellStyle name="Normal 2 4 3 3 2 2 2 3" xfId="5106" xr:uid="{00000000-0005-0000-0000-0000D60F0000}"/>
    <cellStyle name="Normal 2 4 3 3 2 2 2 3 2" xfId="22041" xr:uid="{C16B58D3-BCB8-4904-A488-3244DEDFC6AD}"/>
    <cellStyle name="Normal 2 4 3 3 2 2 2 3 3" xfId="13600" xr:uid="{E80DCDAD-CE38-4F35-BA41-A040A7463A90}"/>
    <cellStyle name="Normal 2 4 3 3 2 2 2 4" xfId="17823" xr:uid="{1E99330F-6BE4-4F5F-BE84-C4B604032BE3}"/>
    <cellStyle name="Normal 2 4 3 3 2 2 2 5" xfId="9349" xr:uid="{C15ACBB4-AA1E-4ED4-8D4A-3F850E103A2A}"/>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4599" xr:uid="{EE698F2F-AA12-4425-951A-3650368142A6}"/>
    <cellStyle name="Normal 2 4 3 3 2 2 3 2 2 3" xfId="16158" xr:uid="{8BBD9AAA-642D-4BB3-A166-8AD567EC0B82}"/>
    <cellStyle name="Normal 2 4 3 3 2 2 3 2 3" xfId="20381" xr:uid="{E61E801F-7F4A-4319-9629-A53BE768DDC8}"/>
    <cellStyle name="Normal 2 4 3 3 2 2 3 2 4" xfId="11939" xr:uid="{CE897FE9-A304-4C95-B37D-4C389A2F8280}"/>
    <cellStyle name="Normal 2 4 3 3 2 2 3 3" xfId="5519" xr:uid="{00000000-0005-0000-0000-0000DA0F0000}"/>
    <cellStyle name="Normal 2 4 3 3 2 2 3 3 2" xfId="22454" xr:uid="{F963466D-0396-4FEC-A836-C7A7968AAE48}"/>
    <cellStyle name="Normal 2 4 3 3 2 2 3 3 3" xfId="14013" xr:uid="{C297E5F7-0F58-4E8A-912B-9FDFBA95B47B}"/>
    <cellStyle name="Normal 2 4 3 3 2 2 3 4" xfId="18236" xr:uid="{DB64C6AA-8580-43A6-B553-1C8AF4BCD33D}"/>
    <cellStyle name="Normal 2 4 3 3 2 2 3 5" xfId="9762" xr:uid="{ED92E164-620D-4729-B652-E95F1E2A68BA}"/>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5012" xr:uid="{F983CDB5-497C-4439-A96A-C727D8ACA4EC}"/>
    <cellStyle name="Normal 2 4 3 3 2 2 4 2 2 3" xfId="16571" xr:uid="{05383881-75AD-4A59-8B5C-6A0BE3B12226}"/>
    <cellStyle name="Normal 2 4 3 3 2 2 4 2 3" xfId="20794" xr:uid="{3E9EFAEB-4C80-4797-B168-B95E5D161EDD}"/>
    <cellStyle name="Normal 2 4 3 3 2 2 4 2 4" xfId="12352" xr:uid="{BB493FA8-FC39-4142-A190-DB50C5B8CDB6}"/>
    <cellStyle name="Normal 2 4 3 3 2 2 4 3" xfId="5932" xr:uid="{00000000-0005-0000-0000-0000DE0F0000}"/>
    <cellStyle name="Normal 2 4 3 3 2 2 4 3 2" xfId="22867" xr:uid="{4B9667BC-FD19-41B0-AC0D-2B100A32A803}"/>
    <cellStyle name="Normal 2 4 3 3 2 2 4 3 3" xfId="14426" xr:uid="{BAA6F34D-39A4-4898-AC5A-8715B73AEE5D}"/>
    <cellStyle name="Normal 2 4 3 3 2 2 4 4" xfId="18649" xr:uid="{22FE953F-B466-4024-91AA-902594E37917}"/>
    <cellStyle name="Normal 2 4 3 3 2 2 4 5" xfId="10175" xr:uid="{992846AD-9A4E-4B56-A26E-6CFA207C7C0B}"/>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5425" xr:uid="{AEAAE756-0180-43C9-8313-45D3FBF0CA1F}"/>
    <cellStyle name="Normal 2 4 3 3 2 2 5 2 2 3" xfId="16984" xr:uid="{F4089DAB-F13A-497A-B21E-CF28268793A2}"/>
    <cellStyle name="Normal 2 4 3 3 2 2 5 2 3" xfId="21207" xr:uid="{FEF5A916-C65A-42ED-BE5E-613608A3A142}"/>
    <cellStyle name="Normal 2 4 3 3 2 2 5 2 4" xfId="12765" xr:uid="{24C9A056-00D3-469D-8812-4D0477254E1B}"/>
    <cellStyle name="Normal 2 4 3 3 2 2 5 3" xfId="6345" xr:uid="{00000000-0005-0000-0000-0000E20F0000}"/>
    <cellStyle name="Normal 2 4 3 3 2 2 5 3 2" xfId="23280" xr:uid="{DDD5309F-E26D-4F12-873C-98FCD412260A}"/>
    <cellStyle name="Normal 2 4 3 3 2 2 5 3 3" xfId="14839" xr:uid="{50E3467B-DF51-4991-AE40-4B7D5D8E497D}"/>
    <cellStyle name="Normal 2 4 3 3 2 2 5 4" xfId="19062" xr:uid="{514BA920-8F70-4F76-8218-97984FEB19EA}"/>
    <cellStyle name="Normal 2 4 3 3 2 2 5 5" xfId="10588" xr:uid="{1650B6AD-8E56-48C3-9CB9-CD91F2395D20}"/>
    <cellStyle name="Normal 2 4 3 3 2 2 6" xfId="2475" xr:uid="{00000000-0005-0000-0000-0000E30F0000}"/>
    <cellStyle name="Normal 2 4 3 3 2 2 6 2" xfId="6758" xr:uid="{00000000-0005-0000-0000-0000E40F0000}"/>
    <cellStyle name="Normal 2 4 3 3 2 2 6 2 2" xfId="23693" xr:uid="{9574EABB-C0FB-4EE5-884A-9A48DE2ED431}"/>
    <cellStyle name="Normal 2 4 3 3 2 2 6 2 3" xfId="15252" xr:uid="{C70EA975-396C-4AB7-9AF8-69668266B1CE}"/>
    <cellStyle name="Normal 2 4 3 3 2 2 6 3" xfId="19475" xr:uid="{497D4D62-0518-41B7-8465-F7EE9EA16611}"/>
    <cellStyle name="Normal 2 4 3 3 2 2 6 4" xfId="11023" xr:uid="{279FECDC-94AD-4F92-B306-4C85E8F20A9F}"/>
    <cellStyle name="Normal 2 4 3 3 2 2 7" xfId="4692" xr:uid="{00000000-0005-0000-0000-0000E50F0000}"/>
    <cellStyle name="Normal 2 4 3 3 2 2 7 2" xfId="21627" xr:uid="{3CD5C7A6-5493-48F8-AFB4-E07893BF0B81}"/>
    <cellStyle name="Normal 2 4 3 3 2 2 7 3" xfId="13186" xr:uid="{D506CA31-EEAE-4453-BE10-FAC18884692A}"/>
    <cellStyle name="Normal 2 4 3 3 2 2 8" xfId="17409" xr:uid="{46DB7B6E-B8D3-4FE4-BDEC-38142BF2F585}"/>
    <cellStyle name="Normal 2 4 3 3 2 2 9" xfId="8934" xr:uid="{F5D32098-F114-4FA9-A5F9-3E04E5F56BFF}"/>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4185" xr:uid="{B5011D04-9823-42EE-9ABB-BB820793A0CA}"/>
    <cellStyle name="Normal 2 4 3 3 2 3 2 2 3" xfId="15744" xr:uid="{5C2876CB-AB40-48C7-BCD6-A643EF96109B}"/>
    <cellStyle name="Normal 2 4 3 3 2 3 2 3" xfId="19967" xr:uid="{D110DCAC-427B-4F9E-BA56-4DDB283A8C27}"/>
    <cellStyle name="Normal 2 4 3 3 2 3 2 4" xfId="11525" xr:uid="{1B488093-145E-4DB2-9A6B-7DFCB7314D81}"/>
    <cellStyle name="Normal 2 4 3 3 2 3 3" xfId="5105" xr:uid="{00000000-0005-0000-0000-0000E90F0000}"/>
    <cellStyle name="Normal 2 4 3 3 2 3 3 2" xfId="22040" xr:uid="{25392E8B-1363-4C10-8914-0396F156E1AB}"/>
    <cellStyle name="Normal 2 4 3 3 2 3 3 3" xfId="13599" xr:uid="{27CAD836-3E1F-409D-88C5-387379DA8B15}"/>
    <cellStyle name="Normal 2 4 3 3 2 3 4" xfId="17822" xr:uid="{81162D10-F831-45AD-A5FB-FBDAF54B72D7}"/>
    <cellStyle name="Normal 2 4 3 3 2 3 5" xfId="9348" xr:uid="{BD4510E1-3F18-4D15-A472-D4DF35893BC6}"/>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4598" xr:uid="{31A6B276-C753-4487-B257-37E1A0A79B03}"/>
    <cellStyle name="Normal 2 4 3 3 2 4 2 2 3" xfId="16157" xr:uid="{E409F577-E555-40D7-BF5F-9E07D29EA21E}"/>
    <cellStyle name="Normal 2 4 3 3 2 4 2 3" xfId="20380" xr:uid="{188D8F1B-C65E-4AC2-8CCD-B333629E75D1}"/>
    <cellStyle name="Normal 2 4 3 3 2 4 2 4" xfId="11938" xr:uid="{D2FE20AC-EC85-4BDB-996B-9F93C70EADD9}"/>
    <cellStyle name="Normal 2 4 3 3 2 4 3" xfId="5518" xr:uid="{00000000-0005-0000-0000-0000ED0F0000}"/>
    <cellStyle name="Normal 2 4 3 3 2 4 3 2" xfId="22453" xr:uid="{95E921E7-42E9-41E7-922A-20B6783DBB90}"/>
    <cellStyle name="Normal 2 4 3 3 2 4 3 3" xfId="14012" xr:uid="{3B537504-A9A5-4E23-8C32-7C0DDF9CF1E3}"/>
    <cellStyle name="Normal 2 4 3 3 2 4 4" xfId="18235" xr:uid="{C15B2513-946D-438D-B17A-F904E4FD7A8A}"/>
    <cellStyle name="Normal 2 4 3 3 2 4 5" xfId="9761" xr:uid="{2E47B48B-3500-443D-8056-E278BD2B4B1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5011" xr:uid="{C8B886E2-E474-4222-BB9A-6606939B994E}"/>
    <cellStyle name="Normal 2 4 3 3 2 5 2 2 3" xfId="16570" xr:uid="{54080713-C73A-416A-9E37-9F4C415AA77B}"/>
    <cellStyle name="Normal 2 4 3 3 2 5 2 3" xfId="20793" xr:uid="{EEA592EB-A6CD-4E56-84F1-60CCAC00954D}"/>
    <cellStyle name="Normal 2 4 3 3 2 5 2 4" xfId="12351" xr:uid="{2EA6CBB7-6EBC-475F-AB31-F16F3D94BB22}"/>
    <cellStyle name="Normal 2 4 3 3 2 5 3" xfId="5931" xr:uid="{00000000-0005-0000-0000-0000F10F0000}"/>
    <cellStyle name="Normal 2 4 3 3 2 5 3 2" xfId="22866" xr:uid="{17CCAB77-B144-48B2-9E5B-DFAF1A6D74B9}"/>
    <cellStyle name="Normal 2 4 3 3 2 5 3 3" xfId="14425" xr:uid="{0B57706E-81B5-4716-ABA2-80E1CC563F03}"/>
    <cellStyle name="Normal 2 4 3 3 2 5 4" xfId="18648" xr:uid="{5DB30226-9481-4B91-8D81-59EDAB5C53D5}"/>
    <cellStyle name="Normal 2 4 3 3 2 5 5" xfId="10174" xr:uid="{B2ABEB9C-D789-477C-9E45-6D58F6DED79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5424" xr:uid="{D4D928D8-12F3-4972-BB8E-40B5D0FCFF9C}"/>
    <cellStyle name="Normal 2 4 3 3 2 6 2 2 3" xfId="16983" xr:uid="{722B018D-3D87-462B-B08C-4C6282AD01D7}"/>
    <cellStyle name="Normal 2 4 3 3 2 6 2 3" xfId="21206" xr:uid="{016C49E7-E561-413A-B937-6D27086A5043}"/>
    <cellStyle name="Normal 2 4 3 3 2 6 2 4" xfId="12764" xr:uid="{11A35BDC-CD08-41BC-9995-1707F1E07A9E}"/>
    <cellStyle name="Normal 2 4 3 3 2 6 3" xfId="6344" xr:uid="{00000000-0005-0000-0000-0000F50F0000}"/>
    <cellStyle name="Normal 2 4 3 3 2 6 3 2" xfId="23279" xr:uid="{70E6522D-2C3C-4706-808B-7B28B0A9EFA4}"/>
    <cellStyle name="Normal 2 4 3 3 2 6 3 3" xfId="14838" xr:uid="{48100433-D510-40B0-98DF-35838067D7B0}"/>
    <cellStyle name="Normal 2 4 3 3 2 6 4" xfId="19061" xr:uid="{69FAFF04-2769-4509-88CD-62532C00DBA3}"/>
    <cellStyle name="Normal 2 4 3 3 2 6 5" xfId="10587" xr:uid="{85DFAEFA-04EF-4E2D-9320-C01B35E0F3B6}"/>
    <cellStyle name="Normal 2 4 3 3 2 7" xfId="2474" xr:uid="{00000000-0005-0000-0000-0000F60F0000}"/>
    <cellStyle name="Normal 2 4 3 3 2 7 2" xfId="6757" xr:uid="{00000000-0005-0000-0000-0000F70F0000}"/>
    <cellStyle name="Normal 2 4 3 3 2 7 2 2" xfId="23692" xr:uid="{F4DC4016-4DE0-407A-8EBD-E3AFDC5070D4}"/>
    <cellStyle name="Normal 2 4 3 3 2 7 2 3" xfId="15251" xr:uid="{3E6E2254-1A64-4CA6-A710-408A43E88F76}"/>
    <cellStyle name="Normal 2 4 3 3 2 7 3" xfId="19474" xr:uid="{9E451FC3-D457-4D6B-8C76-9D72030588C6}"/>
    <cellStyle name="Normal 2 4 3 3 2 7 4" xfId="11022" xr:uid="{3E5FDCFB-32A2-438C-90F3-BE8A97CB3A0B}"/>
    <cellStyle name="Normal 2 4 3 3 2 8" xfId="4691" xr:uid="{00000000-0005-0000-0000-0000F80F0000}"/>
    <cellStyle name="Normal 2 4 3 3 2 8 2" xfId="21626" xr:uid="{10464945-31BB-4E8D-87BD-52DDBB31D7AF}"/>
    <cellStyle name="Normal 2 4 3 3 2 8 3" xfId="13185" xr:uid="{3CFC978F-AA02-42EB-A400-B1B91FD8F63C}"/>
    <cellStyle name="Normal 2 4 3 3 2 9" xfId="17408" xr:uid="{D56E2274-2301-43DD-A74B-D5AD6C8B8FA1}"/>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4187" xr:uid="{B55D66D9-BD11-4D23-83B9-E6095E4C6DB8}"/>
    <cellStyle name="Normal 2 4 3 3 3 2 2 2 3" xfId="15746" xr:uid="{B72BE8E9-E22A-46DC-BAEE-6BF286DEE475}"/>
    <cellStyle name="Normal 2 4 3 3 3 2 2 3" xfId="19969" xr:uid="{37B8BCE9-BDC9-48AC-A7C7-D09276A212D9}"/>
    <cellStyle name="Normal 2 4 3 3 3 2 2 4" xfId="11527" xr:uid="{CB3579E7-CA5C-4974-8F0B-4B5793FA86F3}"/>
    <cellStyle name="Normal 2 4 3 3 3 2 3" xfId="5107" xr:uid="{00000000-0005-0000-0000-0000FD0F0000}"/>
    <cellStyle name="Normal 2 4 3 3 3 2 3 2" xfId="22042" xr:uid="{923626E7-E5AF-4B6A-8228-FA098E932CC9}"/>
    <cellStyle name="Normal 2 4 3 3 3 2 3 3" xfId="13601" xr:uid="{CF2F33CB-A040-4DF4-89F5-722432C34E29}"/>
    <cellStyle name="Normal 2 4 3 3 3 2 4" xfId="17824" xr:uid="{7067CCD9-91D3-4111-9291-CAF0E7737BCA}"/>
    <cellStyle name="Normal 2 4 3 3 3 2 5" xfId="9350" xr:uid="{418D9421-D7A5-4F43-BDA2-7CC268D5FDA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4600" xr:uid="{494D3F8B-88F3-439A-ADAF-459B22E6D43F}"/>
    <cellStyle name="Normal 2 4 3 3 3 3 2 2 3" xfId="16159" xr:uid="{837D5890-F7BD-4ECA-B4ED-D3FDBF5CDBB4}"/>
    <cellStyle name="Normal 2 4 3 3 3 3 2 3" xfId="20382" xr:uid="{7F72CEE5-D2B3-47C5-9912-799BE7829442}"/>
    <cellStyle name="Normal 2 4 3 3 3 3 2 4" xfId="11940" xr:uid="{7345A9EE-C01F-4063-8E00-5DD9C4F1A7CA}"/>
    <cellStyle name="Normal 2 4 3 3 3 3 3" xfId="5520" xr:uid="{00000000-0005-0000-0000-000001100000}"/>
    <cellStyle name="Normal 2 4 3 3 3 3 3 2" xfId="22455" xr:uid="{0F406A0E-EDEF-437A-AF5E-992517B7D72C}"/>
    <cellStyle name="Normal 2 4 3 3 3 3 3 3" xfId="14014" xr:uid="{A7228487-0DED-4CCB-B2B2-C19D2C3969A2}"/>
    <cellStyle name="Normal 2 4 3 3 3 3 4" xfId="18237" xr:uid="{C670E1F8-73EB-4C1A-B26D-F1875E85EA62}"/>
    <cellStyle name="Normal 2 4 3 3 3 3 5" xfId="9763" xr:uid="{C4ABB2E3-C794-4768-A424-C55006F8BB8B}"/>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5013" xr:uid="{406C05E2-456E-41E0-AF59-31DA4E3CEC2D}"/>
    <cellStyle name="Normal 2 4 3 3 3 4 2 2 3" xfId="16572" xr:uid="{4DB6070D-5C41-4F0A-9129-4161A9D2409C}"/>
    <cellStyle name="Normal 2 4 3 3 3 4 2 3" xfId="20795" xr:uid="{B6820428-7948-45AC-BC96-83C538E787E6}"/>
    <cellStyle name="Normal 2 4 3 3 3 4 2 4" xfId="12353" xr:uid="{0940D1B5-106A-4D94-8B67-A4755E40B29D}"/>
    <cellStyle name="Normal 2 4 3 3 3 4 3" xfId="5933" xr:uid="{00000000-0005-0000-0000-000005100000}"/>
    <cellStyle name="Normal 2 4 3 3 3 4 3 2" xfId="22868" xr:uid="{9485DE8D-FB00-412E-886A-ABE5936EFFBC}"/>
    <cellStyle name="Normal 2 4 3 3 3 4 3 3" xfId="14427" xr:uid="{8B2A25F5-AD44-4629-B5C5-7C442CBD2980}"/>
    <cellStyle name="Normal 2 4 3 3 3 4 4" xfId="18650" xr:uid="{924764F7-3F74-41A2-8925-08F56C2B4725}"/>
    <cellStyle name="Normal 2 4 3 3 3 4 5" xfId="10176" xr:uid="{577EC451-FA77-40DB-A46C-77F3CBE6BE55}"/>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5426" xr:uid="{45A8117C-7871-4377-AF94-B0199A5BDD9C}"/>
    <cellStyle name="Normal 2 4 3 3 3 5 2 2 3" xfId="16985" xr:uid="{47E15ACB-7E9A-4A73-A908-E514F715F7B6}"/>
    <cellStyle name="Normal 2 4 3 3 3 5 2 3" xfId="21208" xr:uid="{8D749FC6-2374-48A7-A9EE-4BCE237FF258}"/>
    <cellStyle name="Normal 2 4 3 3 3 5 2 4" xfId="12766" xr:uid="{9C4FD8D2-BF00-47A8-8362-D5B224FFED20}"/>
    <cellStyle name="Normal 2 4 3 3 3 5 3" xfId="6346" xr:uid="{00000000-0005-0000-0000-000009100000}"/>
    <cellStyle name="Normal 2 4 3 3 3 5 3 2" xfId="23281" xr:uid="{8C527D94-1B04-4CF6-B444-64C23E0B490E}"/>
    <cellStyle name="Normal 2 4 3 3 3 5 3 3" xfId="14840" xr:uid="{6C0707E4-159F-437C-A515-BD3C65C95F5C}"/>
    <cellStyle name="Normal 2 4 3 3 3 5 4" xfId="19063" xr:uid="{1971EF44-8D1C-4AF2-9431-D5D89DAD5ED8}"/>
    <cellStyle name="Normal 2 4 3 3 3 5 5" xfId="10589" xr:uid="{0247635F-65E7-4681-9259-AE800CE06E72}"/>
    <cellStyle name="Normal 2 4 3 3 3 6" xfId="2476" xr:uid="{00000000-0005-0000-0000-00000A100000}"/>
    <cellStyle name="Normal 2 4 3 3 3 6 2" xfId="6759" xr:uid="{00000000-0005-0000-0000-00000B100000}"/>
    <cellStyle name="Normal 2 4 3 3 3 6 2 2" xfId="23694" xr:uid="{58BCA733-B9FB-4661-9CC3-4B9D86554B33}"/>
    <cellStyle name="Normal 2 4 3 3 3 6 2 3" xfId="15253" xr:uid="{09C772B0-CD70-44D0-BAC2-6861475D89F1}"/>
    <cellStyle name="Normal 2 4 3 3 3 6 3" xfId="19476" xr:uid="{8B9EF8A3-460E-4949-AEF5-EFCBA2E14B6A}"/>
    <cellStyle name="Normal 2 4 3 3 3 6 4" xfId="11024" xr:uid="{69307323-1F5F-4513-842A-5691BC31F0E9}"/>
    <cellStyle name="Normal 2 4 3 3 3 7" xfId="4693" xr:uid="{00000000-0005-0000-0000-00000C100000}"/>
    <cellStyle name="Normal 2 4 3 3 3 7 2" xfId="21628" xr:uid="{BC5DDA7B-576A-4A38-9F4F-E0D6BE87AB27}"/>
    <cellStyle name="Normal 2 4 3 3 3 7 3" xfId="13187" xr:uid="{B4FB6A5D-A80D-457F-8E97-6FB0FC3C6327}"/>
    <cellStyle name="Normal 2 4 3 3 3 8" xfId="17410" xr:uid="{2FDFA073-C06E-4415-9EA6-6E71E288792F}"/>
    <cellStyle name="Normal 2 4 3 3 3 9" xfId="8935" xr:uid="{8B4ADB31-BE1B-4757-8EA1-B7AB89FA07E9}"/>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4184" xr:uid="{F3214F71-3909-4C43-8BAF-4EE60468D17C}"/>
    <cellStyle name="Normal 2 4 3 3 4 2 2 3" xfId="15743" xr:uid="{B5FA94B2-A47A-4192-84D0-1B62CDEF88C3}"/>
    <cellStyle name="Normal 2 4 3 3 4 2 3" xfId="19966" xr:uid="{3387EF1D-76FF-489E-B146-3ACD3D1E1B92}"/>
    <cellStyle name="Normal 2 4 3 3 4 2 4" xfId="11524" xr:uid="{C8638E2D-CCF0-419F-BD23-398731C0CA44}"/>
    <cellStyle name="Normal 2 4 3 3 4 3" xfId="5104" xr:uid="{00000000-0005-0000-0000-000010100000}"/>
    <cellStyle name="Normal 2 4 3 3 4 3 2" xfId="22039" xr:uid="{19B7F39A-117B-4828-A19B-6A48CAAE081E}"/>
    <cellStyle name="Normal 2 4 3 3 4 3 3" xfId="13598" xr:uid="{DA1BB53F-660C-4243-877E-23C9780579B3}"/>
    <cellStyle name="Normal 2 4 3 3 4 4" xfId="17821" xr:uid="{485C5088-3EC7-4A7D-8ACF-F3D18CC401E0}"/>
    <cellStyle name="Normal 2 4 3 3 4 5" xfId="9347" xr:uid="{10227BC6-92DD-4ACA-B511-0F5324EEF7AB}"/>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4597" xr:uid="{94A0D7C3-8B69-4AB8-85C0-CF720E91B26B}"/>
    <cellStyle name="Normal 2 4 3 3 5 2 2 3" xfId="16156" xr:uid="{431B7FA4-501C-4ACE-951B-8C6DFE9D95E8}"/>
    <cellStyle name="Normal 2 4 3 3 5 2 3" xfId="20379" xr:uid="{732E1F91-9F3D-4A8B-8050-62038927C2A7}"/>
    <cellStyle name="Normal 2 4 3 3 5 2 4" xfId="11937" xr:uid="{CBAD0F48-162E-4D68-B8E0-8E48F57737C4}"/>
    <cellStyle name="Normal 2 4 3 3 5 3" xfId="5517" xr:uid="{00000000-0005-0000-0000-000014100000}"/>
    <cellStyle name="Normal 2 4 3 3 5 3 2" xfId="22452" xr:uid="{B7A4D174-3AD9-4222-AD29-52706F2DC7E3}"/>
    <cellStyle name="Normal 2 4 3 3 5 3 3" xfId="14011" xr:uid="{62E5129B-5F13-4B12-9DA8-AEAFD33A04A6}"/>
    <cellStyle name="Normal 2 4 3 3 5 4" xfId="18234" xr:uid="{E9CC440E-7D57-4825-A262-EA6C64172C41}"/>
    <cellStyle name="Normal 2 4 3 3 5 5" xfId="9760" xr:uid="{601FDD83-04B7-4629-B455-B6E6DF9CA78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5010" xr:uid="{59B10C8F-F4E7-40FA-AEED-891867151435}"/>
    <cellStyle name="Normal 2 4 3 3 6 2 2 3" xfId="16569" xr:uid="{A34F71B4-8F09-43F0-ADD6-BE819FD0C80F}"/>
    <cellStyle name="Normal 2 4 3 3 6 2 3" xfId="20792" xr:uid="{ED15858C-2A5F-42C5-A290-C25365E0C413}"/>
    <cellStyle name="Normal 2 4 3 3 6 2 4" xfId="12350" xr:uid="{1D9ECC2D-CB8A-4265-B6B5-212BB1513C8F}"/>
    <cellStyle name="Normal 2 4 3 3 6 3" xfId="5930" xr:uid="{00000000-0005-0000-0000-000018100000}"/>
    <cellStyle name="Normal 2 4 3 3 6 3 2" xfId="22865" xr:uid="{02774FCE-E8E9-4F33-A8DE-84AC1D52A58E}"/>
    <cellStyle name="Normal 2 4 3 3 6 3 3" xfId="14424" xr:uid="{4F6207B1-6D54-484E-B906-13B1F72D8FDE}"/>
    <cellStyle name="Normal 2 4 3 3 6 4" xfId="18647" xr:uid="{845F7E24-A07A-4532-B9B7-64A973A56D12}"/>
    <cellStyle name="Normal 2 4 3 3 6 5" xfId="10173" xr:uid="{BC80C6EE-4D31-40DA-9EB2-5DC36D91D28A}"/>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5423" xr:uid="{8EFF19B9-FBCD-4C72-9667-5B9688D34D56}"/>
    <cellStyle name="Normal 2 4 3 3 7 2 2 3" xfId="16982" xr:uid="{A922B5BD-3A63-4E4C-A1DC-9E413BE85EB3}"/>
    <cellStyle name="Normal 2 4 3 3 7 2 3" xfId="21205" xr:uid="{A38297E5-A0FB-422A-8ED0-4412950E8670}"/>
    <cellStyle name="Normal 2 4 3 3 7 2 4" xfId="12763" xr:uid="{7BD2F1FB-7842-468D-A0AA-FBD25E702CE8}"/>
    <cellStyle name="Normal 2 4 3 3 7 3" xfId="6343" xr:uid="{00000000-0005-0000-0000-00001C100000}"/>
    <cellStyle name="Normal 2 4 3 3 7 3 2" xfId="23278" xr:uid="{9BAC0E89-9750-4A80-8A23-B1AA5BBD3F28}"/>
    <cellStyle name="Normal 2 4 3 3 7 3 3" xfId="14837" xr:uid="{F9C2A5A5-CFEB-430B-8790-AA0CD6DFCB77}"/>
    <cellStyle name="Normal 2 4 3 3 7 4" xfId="19060" xr:uid="{46F64FBE-CE4A-4FDF-AE8E-BEF7B3207129}"/>
    <cellStyle name="Normal 2 4 3 3 7 5" xfId="10586" xr:uid="{F568B8FF-6D81-4A27-9E6C-5511C86BD24D}"/>
    <cellStyle name="Normal 2 4 3 3 8" xfId="2473" xr:uid="{00000000-0005-0000-0000-00001D100000}"/>
    <cellStyle name="Normal 2 4 3 3 8 2" xfId="6756" xr:uid="{00000000-0005-0000-0000-00001E100000}"/>
    <cellStyle name="Normal 2 4 3 3 8 2 2" xfId="23691" xr:uid="{06DAEABD-16EE-44E5-97AB-AFB28BCE06A9}"/>
    <cellStyle name="Normal 2 4 3 3 8 2 3" xfId="15250" xr:uid="{A7E8C478-74C0-43CE-83C0-4551562B90C7}"/>
    <cellStyle name="Normal 2 4 3 3 8 3" xfId="19473" xr:uid="{F2F011D6-7EA3-4400-8D99-8DEE5AFDAF26}"/>
    <cellStyle name="Normal 2 4 3 3 8 4" xfId="11021" xr:uid="{F46648E2-D21A-4487-9605-18D038E26A11}"/>
    <cellStyle name="Normal 2 4 3 3 9" xfId="4690" xr:uid="{00000000-0005-0000-0000-00001F100000}"/>
    <cellStyle name="Normal 2 4 3 3 9 2" xfId="21625" xr:uid="{0B989783-AECF-4944-B83A-E929226F793B}"/>
    <cellStyle name="Normal 2 4 3 3 9 3" xfId="13184" xr:uid="{207BD79E-AD52-45C0-9DD5-78272FCAD686}"/>
    <cellStyle name="Normal 2 4 3 4" xfId="787" xr:uid="{00000000-0005-0000-0000-000020100000}"/>
    <cellStyle name="Normal 2 4 3 4 2" xfId="3026" xr:uid="{00000000-0005-0000-0000-000021100000}"/>
    <cellStyle name="Normal 2 4 3 4 2 2" xfId="7248" xr:uid="{00000000-0005-0000-0000-000022100000}"/>
    <cellStyle name="Normal 2 4 3 4 2 2 2" xfId="24183" xr:uid="{44D06B40-9EA8-4F85-9994-4387F8920EA4}"/>
    <cellStyle name="Normal 2 4 3 4 2 2 3" xfId="15742" xr:uid="{55A47A8F-77BA-4433-A5CF-C28DAB2D3D4E}"/>
    <cellStyle name="Normal 2 4 3 4 2 3" xfId="19965" xr:uid="{D157E018-8D96-4338-8D95-886BAD859C63}"/>
    <cellStyle name="Normal 2 4 3 4 2 4" xfId="11523" xr:uid="{388F73A1-0C12-4868-A90E-BE6A98FC9EEE}"/>
    <cellStyle name="Normal 2 4 3 4 3" xfId="5103" xr:uid="{00000000-0005-0000-0000-000023100000}"/>
    <cellStyle name="Normal 2 4 3 4 3 2" xfId="22038" xr:uid="{9073538D-098F-4488-8A4D-525C2612F36D}"/>
    <cellStyle name="Normal 2 4 3 4 3 3" xfId="13597" xr:uid="{81A53100-2FE2-4C88-A472-35E65D43CFE4}"/>
    <cellStyle name="Normal 2 4 3 4 4" xfId="17820" xr:uid="{614FFF46-B2D7-4406-9F52-993ED552968D}"/>
    <cellStyle name="Normal 2 4 3 4 5" xfId="9346" xr:uid="{9CED9F98-8766-4067-BBE1-BC5F0C3BC5A5}"/>
    <cellStyle name="Normal 2 4 3 5" xfId="1209" xr:uid="{00000000-0005-0000-0000-000024100000}"/>
    <cellStyle name="Normal 2 4 3 5 2" xfId="3439" xr:uid="{00000000-0005-0000-0000-000025100000}"/>
    <cellStyle name="Normal 2 4 3 5 2 2" xfId="7661" xr:uid="{00000000-0005-0000-0000-000026100000}"/>
    <cellStyle name="Normal 2 4 3 5 2 2 2" xfId="24596" xr:uid="{8FB27487-CF2A-40DD-8B40-7A43C419A440}"/>
    <cellStyle name="Normal 2 4 3 5 2 2 3" xfId="16155" xr:uid="{B75DE139-6DF5-4B2C-BE82-AEFE5E6A356D}"/>
    <cellStyle name="Normal 2 4 3 5 2 3" xfId="20378" xr:uid="{3F473062-BF2A-4BFD-8B3A-FA110CFFE3CB}"/>
    <cellStyle name="Normal 2 4 3 5 2 4" xfId="11936" xr:uid="{588D0D4E-959F-47E4-9A71-22A7FA7CC5CF}"/>
    <cellStyle name="Normal 2 4 3 5 3" xfId="5516" xr:uid="{00000000-0005-0000-0000-000027100000}"/>
    <cellStyle name="Normal 2 4 3 5 3 2" xfId="22451" xr:uid="{D5AAAA31-380A-4EDF-8043-35A7AAFF3896}"/>
    <cellStyle name="Normal 2 4 3 5 3 3" xfId="14010" xr:uid="{9E49F39E-1311-4E48-95F4-790BF1E80784}"/>
    <cellStyle name="Normal 2 4 3 5 4" xfId="18233" xr:uid="{F337B13A-DF06-4754-A3B6-DCF65402D771}"/>
    <cellStyle name="Normal 2 4 3 5 5" xfId="9759" xr:uid="{E94A525E-B1A4-4E8D-ACA2-F8FBA527533A}"/>
    <cellStyle name="Normal 2 4 3 6" xfId="1622" xr:uid="{00000000-0005-0000-0000-000028100000}"/>
    <cellStyle name="Normal 2 4 3 6 2" xfId="3852" xr:uid="{00000000-0005-0000-0000-000029100000}"/>
    <cellStyle name="Normal 2 4 3 6 2 2" xfId="8074" xr:uid="{00000000-0005-0000-0000-00002A100000}"/>
    <cellStyle name="Normal 2 4 3 6 2 2 2" xfId="25009" xr:uid="{8B6810CD-4B77-4A8E-A4F6-F3367232B42D}"/>
    <cellStyle name="Normal 2 4 3 6 2 2 3" xfId="16568" xr:uid="{0FEB90D8-B858-49CB-9ADF-C966E9BDA78E}"/>
    <cellStyle name="Normal 2 4 3 6 2 3" xfId="20791" xr:uid="{B2ADC963-D5D1-4812-AD51-1F5949A1C2A7}"/>
    <cellStyle name="Normal 2 4 3 6 2 4" xfId="12349" xr:uid="{8FC84A1E-9BEB-497B-8BF2-501F64D691DF}"/>
    <cellStyle name="Normal 2 4 3 6 3" xfId="5929" xr:uid="{00000000-0005-0000-0000-00002B100000}"/>
    <cellStyle name="Normal 2 4 3 6 3 2" xfId="22864" xr:uid="{0169BD3A-7ACD-4128-B01B-AC7F2424B596}"/>
    <cellStyle name="Normal 2 4 3 6 3 3" xfId="14423" xr:uid="{6B18D30A-2E3E-4612-AFF6-6506DBDBF583}"/>
    <cellStyle name="Normal 2 4 3 6 4" xfId="18646" xr:uid="{9A939EC2-CC62-4736-A88A-8F2C8D76F87D}"/>
    <cellStyle name="Normal 2 4 3 6 5" xfId="10172" xr:uid="{D0BE0A56-8E0C-4DC3-ADF9-84065C93E02D}"/>
    <cellStyle name="Normal 2 4 3 7" xfId="2036" xr:uid="{00000000-0005-0000-0000-00002C100000}"/>
    <cellStyle name="Normal 2 4 3 7 2" xfId="4265" xr:uid="{00000000-0005-0000-0000-00002D100000}"/>
    <cellStyle name="Normal 2 4 3 7 2 2" xfId="8487" xr:uid="{00000000-0005-0000-0000-00002E100000}"/>
    <cellStyle name="Normal 2 4 3 7 2 2 2" xfId="25422" xr:uid="{479BFFC6-E74A-4FEE-8ED9-F47194E0B466}"/>
    <cellStyle name="Normal 2 4 3 7 2 2 3" xfId="16981" xr:uid="{EF40C206-5BE8-4BCC-A789-0BFDC25DCF59}"/>
    <cellStyle name="Normal 2 4 3 7 2 3" xfId="21204" xr:uid="{23DF8F9C-D516-4982-B2CC-A3C71CB330CD}"/>
    <cellStyle name="Normal 2 4 3 7 2 4" xfId="12762" xr:uid="{1359FE2C-FFCA-4C77-9F80-DBA3DAAD2E06}"/>
    <cellStyle name="Normal 2 4 3 7 3" xfId="6342" xr:uid="{00000000-0005-0000-0000-00002F100000}"/>
    <cellStyle name="Normal 2 4 3 7 3 2" xfId="23277" xr:uid="{7618B3C3-40FB-4C49-BD71-9BD321389BA7}"/>
    <cellStyle name="Normal 2 4 3 7 3 3" xfId="14836" xr:uid="{9B685813-E976-4949-BFFA-8083D47E5722}"/>
    <cellStyle name="Normal 2 4 3 7 4" xfId="19059" xr:uid="{61757A8D-FB55-4B4E-AE0E-98BFC64252A1}"/>
    <cellStyle name="Normal 2 4 3 7 5" xfId="10585" xr:uid="{79B79B99-8681-4C9B-B0B7-EBD696DBFC7D}"/>
    <cellStyle name="Normal 2 4 3 8" xfId="2472" xr:uid="{00000000-0005-0000-0000-000030100000}"/>
    <cellStyle name="Normal 2 4 3 8 2" xfId="6755" xr:uid="{00000000-0005-0000-0000-000031100000}"/>
    <cellStyle name="Normal 2 4 3 8 2 2" xfId="23690" xr:uid="{8B4208FD-FBCC-4F8F-89B6-902B05BE3E3A}"/>
    <cellStyle name="Normal 2 4 3 8 2 3" xfId="15249" xr:uid="{DABEE990-8CD0-4EF8-9E6D-01E8A98A9167}"/>
    <cellStyle name="Normal 2 4 3 8 3" xfId="19472" xr:uid="{520C159F-FD7A-4AE4-A785-115B9D1026AE}"/>
    <cellStyle name="Normal 2 4 3 8 4" xfId="11020" xr:uid="{3DF0B868-651B-45A1-AE77-CD704611003F}"/>
    <cellStyle name="Normal 2 4 3 9" xfId="4689" xr:uid="{00000000-0005-0000-0000-000032100000}"/>
    <cellStyle name="Normal 2 4 3 9 2" xfId="21624" xr:uid="{104CA700-6659-4330-BD1B-79DAD1401739}"/>
    <cellStyle name="Normal 2 4 3 9 3" xfId="13183" xr:uid="{AD1EDDF8-B22A-4993-8AEC-2D17CA90E21B}"/>
    <cellStyle name="Normal 2 4 4" xfId="302" xr:uid="{00000000-0005-0000-0000-000033100000}"/>
    <cellStyle name="Normal 2 4 5" xfId="303" xr:uid="{00000000-0005-0000-0000-000034100000}"/>
    <cellStyle name="Normal 2 4 5 10" xfId="4694" xr:uid="{00000000-0005-0000-0000-000035100000}"/>
    <cellStyle name="Normal 2 4 5 10 2" xfId="21629" xr:uid="{66B4C76F-2B70-40A3-B6BE-DA474225CB54}"/>
    <cellStyle name="Normal 2 4 5 10 3" xfId="13188" xr:uid="{110BCEA6-14F3-4BCD-A8D8-7F1C8796AF51}"/>
    <cellStyle name="Normal 2 4 5 11" xfId="17411" xr:uid="{520E6C69-4051-4754-9D9C-5FF4C7EA9268}"/>
    <cellStyle name="Normal 2 4 5 12" xfId="8936" xr:uid="{B7AB20F7-6E30-4AFC-956A-D313DD34F247}"/>
    <cellStyle name="Normal 2 4 5 2" xfId="304" xr:uid="{00000000-0005-0000-0000-000036100000}"/>
    <cellStyle name="Normal 2 4 5 2 10" xfId="17412" xr:uid="{62A63C58-ACBC-45F5-B439-B6CF2C0C0AA8}"/>
    <cellStyle name="Normal 2 4 5 2 11" xfId="8937" xr:uid="{A90C7217-48A9-463A-8049-2AC5F4ADEB55}"/>
    <cellStyle name="Normal 2 4 5 2 2" xfId="305" xr:uid="{00000000-0005-0000-0000-000037100000}"/>
    <cellStyle name="Normal 2 4 5 2 2 10" xfId="8938" xr:uid="{7A996284-CB0B-4AFD-9626-942780B38702}"/>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4191" xr:uid="{28117ACE-ED51-410A-AC15-5069CF736154}"/>
    <cellStyle name="Normal 2 4 5 2 2 2 2 2 2 3" xfId="15750" xr:uid="{46C40DB5-F2A8-439A-9255-8DD34A273D37}"/>
    <cellStyle name="Normal 2 4 5 2 2 2 2 2 3" xfId="19973" xr:uid="{15AE3DFD-6181-43F0-9A80-C4033599A3A0}"/>
    <cellStyle name="Normal 2 4 5 2 2 2 2 2 4" xfId="11531" xr:uid="{A69171DC-EAD2-47A1-855B-94023B7DD064}"/>
    <cellStyle name="Normal 2 4 5 2 2 2 2 3" xfId="5111" xr:uid="{00000000-0005-0000-0000-00003C100000}"/>
    <cellStyle name="Normal 2 4 5 2 2 2 2 3 2" xfId="22046" xr:uid="{FA80E6FF-5C52-4FE1-BA17-1D6F50C20BE2}"/>
    <cellStyle name="Normal 2 4 5 2 2 2 2 3 3" xfId="13605" xr:uid="{717B9C29-EC8C-4302-9EF5-9C5D99F843EC}"/>
    <cellStyle name="Normal 2 4 5 2 2 2 2 4" xfId="17828" xr:uid="{7BF53B2D-40E6-45AC-9FAE-6F9E83FA17DD}"/>
    <cellStyle name="Normal 2 4 5 2 2 2 2 5" xfId="9354" xr:uid="{5097C9C8-4584-45BB-9E22-CF0782ED7F65}"/>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4604" xr:uid="{95F489AD-5FC6-4BCD-B632-48AB457F09FA}"/>
    <cellStyle name="Normal 2 4 5 2 2 2 3 2 2 3" xfId="16163" xr:uid="{82877039-D31F-4CC6-A3BC-94C5E4C31EED}"/>
    <cellStyle name="Normal 2 4 5 2 2 2 3 2 3" xfId="20386" xr:uid="{24D28528-DF5A-49DD-B431-1DBAA43724E0}"/>
    <cellStyle name="Normal 2 4 5 2 2 2 3 2 4" xfId="11944" xr:uid="{F8CAD1B4-C7BC-49AE-855B-F859349DB7B0}"/>
    <cellStyle name="Normal 2 4 5 2 2 2 3 3" xfId="5524" xr:uid="{00000000-0005-0000-0000-000040100000}"/>
    <cellStyle name="Normal 2 4 5 2 2 2 3 3 2" xfId="22459" xr:uid="{60D5FA7C-44DF-49C1-A92C-83109BA24159}"/>
    <cellStyle name="Normal 2 4 5 2 2 2 3 3 3" xfId="14018" xr:uid="{F88C04C7-CD1A-4F57-954C-E4BF9AA0319A}"/>
    <cellStyle name="Normal 2 4 5 2 2 2 3 4" xfId="18241" xr:uid="{897F9471-F882-4DE4-B30E-0FE9AECA8023}"/>
    <cellStyle name="Normal 2 4 5 2 2 2 3 5" xfId="9767" xr:uid="{64D3B6EF-194D-4C39-B75E-7197C309DA6C}"/>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5017" xr:uid="{55E7EA5D-1810-4340-A75A-A210102A32A2}"/>
    <cellStyle name="Normal 2 4 5 2 2 2 4 2 2 3" xfId="16576" xr:uid="{A28BD50B-5840-48D2-9F30-5DE050E2959D}"/>
    <cellStyle name="Normal 2 4 5 2 2 2 4 2 3" xfId="20799" xr:uid="{A84F3DC4-B547-422E-84BD-2790FF9FF111}"/>
    <cellStyle name="Normal 2 4 5 2 2 2 4 2 4" xfId="12357" xr:uid="{9C5F193D-DE35-4F41-A525-EE740016E520}"/>
    <cellStyle name="Normal 2 4 5 2 2 2 4 3" xfId="5937" xr:uid="{00000000-0005-0000-0000-000044100000}"/>
    <cellStyle name="Normal 2 4 5 2 2 2 4 3 2" xfId="22872" xr:uid="{FC6D6926-F6D6-4690-823B-A9D20A623628}"/>
    <cellStyle name="Normal 2 4 5 2 2 2 4 3 3" xfId="14431" xr:uid="{5E585B37-2BA6-40EA-B993-9FD47BDB92BB}"/>
    <cellStyle name="Normal 2 4 5 2 2 2 4 4" xfId="18654" xr:uid="{C562052B-67B7-42AB-B5E0-201953B44FB0}"/>
    <cellStyle name="Normal 2 4 5 2 2 2 4 5" xfId="10180" xr:uid="{D385984B-3C28-49D3-BEFB-568A2E3D895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5430" xr:uid="{15585404-5765-4E9A-8C34-63B4F91E9D57}"/>
    <cellStyle name="Normal 2 4 5 2 2 2 5 2 2 3" xfId="16989" xr:uid="{FF5F9B81-FE97-4C95-A820-D3E32DDAD8C9}"/>
    <cellStyle name="Normal 2 4 5 2 2 2 5 2 3" xfId="21212" xr:uid="{44AE77F6-9FF0-4FD9-84F3-BF477046605B}"/>
    <cellStyle name="Normal 2 4 5 2 2 2 5 2 4" xfId="12770" xr:uid="{B0509D93-C9FC-4956-88EC-2BF0DF29B218}"/>
    <cellStyle name="Normal 2 4 5 2 2 2 5 3" xfId="6350" xr:uid="{00000000-0005-0000-0000-000048100000}"/>
    <cellStyle name="Normal 2 4 5 2 2 2 5 3 2" xfId="23285" xr:uid="{2CE0075E-390D-4846-8E2F-2F1F4401B1C1}"/>
    <cellStyle name="Normal 2 4 5 2 2 2 5 3 3" xfId="14844" xr:uid="{68801D58-E43B-44BC-9DF0-FAA6B1258E27}"/>
    <cellStyle name="Normal 2 4 5 2 2 2 5 4" xfId="19067" xr:uid="{F7C2BD0E-97EE-4BD0-9657-A217D396A842}"/>
    <cellStyle name="Normal 2 4 5 2 2 2 5 5" xfId="10593" xr:uid="{B84CD89E-EA65-41CB-8E7F-CEA735D60A97}"/>
    <cellStyle name="Normal 2 4 5 2 2 2 6" xfId="2480" xr:uid="{00000000-0005-0000-0000-000049100000}"/>
    <cellStyle name="Normal 2 4 5 2 2 2 6 2" xfId="6763" xr:uid="{00000000-0005-0000-0000-00004A100000}"/>
    <cellStyle name="Normal 2 4 5 2 2 2 6 2 2" xfId="23698" xr:uid="{ACB1A749-4F98-4080-84AF-F4829CC90E44}"/>
    <cellStyle name="Normal 2 4 5 2 2 2 6 2 3" xfId="15257" xr:uid="{411CC3E7-AE46-4579-BE5C-C206AB1975CD}"/>
    <cellStyle name="Normal 2 4 5 2 2 2 6 3" xfId="19480" xr:uid="{0C5EAB4B-6789-4FFB-AF0C-1218453EE327}"/>
    <cellStyle name="Normal 2 4 5 2 2 2 6 4" xfId="11028" xr:uid="{8C80B5FA-7565-45AC-ACC3-A34DA059D4CA}"/>
    <cellStyle name="Normal 2 4 5 2 2 2 7" xfId="4697" xr:uid="{00000000-0005-0000-0000-00004B100000}"/>
    <cellStyle name="Normal 2 4 5 2 2 2 7 2" xfId="21632" xr:uid="{6F89C616-0E3A-4F76-9584-5B7989455D53}"/>
    <cellStyle name="Normal 2 4 5 2 2 2 7 3" xfId="13191" xr:uid="{EBA0B036-0C0D-4DEB-BB2D-E37D69609220}"/>
    <cellStyle name="Normal 2 4 5 2 2 2 8" xfId="17414" xr:uid="{E21CD633-6727-48D9-9CAB-793EC5EBD7E7}"/>
    <cellStyle name="Normal 2 4 5 2 2 2 9" xfId="8939" xr:uid="{1AA863FB-933D-4A0D-BCE4-B5A6A53E944C}"/>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4190" xr:uid="{172BC280-9531-444D-B498-D9E2884D03A4}"/>
    <cellStyle name="Normal 2 4 5 2 2 3 2 2 3" xfId="15749" xr:uid="{77797805-4054-4132-A05A-A3565291F7D8}"/>
    <cellStyle name="Normal 2 4 5 2 2 3 2 3" xfId="19972" xr:uid="{937D145A-1800-4BE3-972B-B53E4CEA8773}"/>
    <cellStyle name="Normal 2 4 5 2 2 3 2 4" xfId="11530" xr:uid="{18561917-CBD3-4F70-BEE5-DFCB372A3EDB}"/>
    <cellStyle name="Normal 2 4 5 2 2 3 3" xfId="5110" xr:uid="{00000000-0005-0000-0000-00004F100000}"/>
    <cellStyle name="Normal 2 4 5 2 2 3 3 2" xfId="22045" xr:uid="{2B6FD751-8A76-4F9F-AEE1-0625F58B99A8}"/>
    <cellStyle name="Normal 2 4 5 2 2 3 3 3" xfId="13604" xr:uid="{B37FEA24-2BDB-41EF-B552-27A665829F9B}"/>
    <cellStyle name="Normal 2 4 5 2 2 3 4" xfId="17827" xr:uid="{A17B4E44-74F8-4A46-8B8F-88503A00BB4F}"/>
    <cellStyle name="Normal 2 4 5 2 2 3 5" xfId="9353" xr:uid="{F16CCF30-CAED-4428-8139-443ED408C01D}"/>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4603" xr:uid="{73B7E0C9-9648-4B94-9B0C-8D2F19C5DC2F}"/>
    <cellStyle name="Normal 2 4 5 2 2 4 2 2 3" xfId="16162" xr:uid="{34EC516B-2D69-4C3E-9F73-1E37C62ED1C3}"/>
    <cellStyle name="Normal 2 4 5 2 2 4 2 3" xfId="20385" xr:uid="{7CFB4626-7CE6-43B9-9A52-A0526CCFDD7F}"/>
    <cellStyle name="Normal 2 4 5 2 2 4 2 4" xfId="11943" xr:uid="{38D4950D-768C-41CC-8161-CD0D477054CB}"/>
    <cellStyle name="Normal 2 4 5 2 2 4 3" xfId="5523" xr:uid="{00000000-0005-0000-0000-000053100000}"/>
    <cellStyle name="Normal 2 4 5 2 2 4 3 2" xfId="22458" xr:uid="{269D0122-E764-46FF-8F7B-D1395D155D76}"/>
    <cellStyle name="Normal 2 4 5 2 2 4 3 3" xfId="14017" xr:uid="{542DB85F-C707-445F-82F5-687039ADDB33}"/>
    <cellStyle name="Normal 2 4 5 2 2 4 4" xfId="18240" xr:uid="{702E4B01-33B2-4B08-A78F-A34F2F57DD36}"/>
    <cellStyle name="Normal 2 4 5 2 2 4 5" xfId="9766" xr:uid="{B944880A-448B-4D8E-9FD0-4C1C727A5BCE}"/>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5016" xr:uid="{96024B82-BF25-4F64-8E8B-62163C182A00}"/>
    <cellStyle name="Normal 2 4 5 2 2 5 2 2 3" xfId="16575" xr:uid="{4DB167B2-759D-41A9-96A1-6964E3A752DC}"/>
    <cellStyle name="Normal 2 4 5 2 2 5 2 3" xfId="20798" xr:uid="{7AE61BCE-B380-4856-8519-8A6D22B07968}"/>
    <cellStyle name="Normal 2 4 5 2 2 5 2 4" xfId="12356" xr:uid="{C2F0BD40-B208-4B85-8F24-07895467DE27}"/>
    <cellStyle name="Normal 2 4 5 2 2 5 3" xfId="5936" xr:uid="{00000000-0005-0000-0000-000057100000}"/>
    <cellStyle name="Normal 2 4 5 2 2 5 3 2" xfId="22871" xr:uid="{2C8D52E6-65A9-4B84-850A-ED7BEC58BA34}"/>
    <cellStyle name="Normal 2 4 5 2 2 5 3 3" xfId="14430" xr:uid="{7B978272-00F7-4098-A279-67CABF79F6A9}"/>
    <cellStyle name="Normal 2 4 5 2 2 5 4" xfId="18653" xr:uid="{13E63C5D-3D09-424D-BEBB-B26C3CA38735}"/>
    <cellStyle name="Normal 2 4 5 2 2 5 5" xfId="10179" xr:uid="{26A1B670-91C2-4F8F-9317-4AC4C890F2DE}"/>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5429" xr:uid="{5E251A53-B344-42BA-AECC-048841A6C9CD}"/>
    <cellStyle name="Normal 2 4 5 2 2 6 2 2 3" xfId="16988" xr:uid="{992FFE21-0DFF-46D8-A2E6-3C5D2CAE47B1}"/>
    <cellStyle name="Normal 2 4 5 2 2 6 2 3" xfId="21211" xr:uid="{BD8B09A3-ACAB-45EA-8701-D6A8173E3028}"/>
    <cellStyle name="Normal 2 4 5 2 2 6 2 4" xfId="12769" xr:uid="{F065DAE4-B241-4A44-BCA9-18CAC76B48AF}"/>
    <cellStyle name="Normal 2 4 5 2 2 6 3" xfId="6349" xr:uid="{00000000-0005-0000-0000-00005B100000}"/>
    <cellStyle name="Normal 2 4 5 2 2 6 3 2" xfId="23284" xr:uid="{3EFBF455-F6B8-4C0A-B56A-BC7F4574FD6B}"/>
    <cellStyle name="Normal 2 4 5 2 2 6 3 3" xfId="14843" xr:uid="{7EC9B360-C1D3-42D5-B319-6E9D15B312D7}"/>
    <cellStyle name="Normal 2 4 5 2 2 6 4" xfId="19066" xr:uid="{0A6EEB53-8F52-48D6-9EA9-092E18878DB5}"/>
    <cellStyle name="Normal 2 4 5 2 2 6 5" xfId="10592" xr:uid="{3EDC2E45-0BE8-482B-B798-F008ACC5301C}"/>
    <cellStyle name="Normal 2 4 5 2 2 7" xfId="2479" xr:uid="{00000000-0005-0000-0000-00005C100000}"/>
    <cellStyle name="Normal 2 4 5 2 2 7 2" xfId="6762" xr:uid="{00000000-0005-0000-0000-00005D100000}"/>
    <cellStyle name="Normal 2 4 5 2 2 7 2 2" xfId="23697" xr:uid="{DBCD5FD6-86FC-4E3B-A042-B26AEA21A7F8}"/>
    <cellStyle name="Normal 2 4 5 2 2 7 2 3" xfId="15256" xr:uid="{DA0E7ACD-04F5-4012-AEF2-BE3E54BBB324}"/>
    <cellStyle name="Normal 2 4 5 2 2 7 3" xfId="19479" xr:uid="{8F6A46F3-65E8-4926-92EE-D2BB8F096A77}"/>
    <cellStyle name="Normal 2 4 5 2 2 7 4" xfId="11027" xr:uid="{237B7B1B-8260-40AB-8D4C-B05A8BF249A5}"/>
    <cellStyle name="Normal 2 4 5 2 2 8" xfId="4696" xr:uid="{00000000-0005-0000-0000-00005E100000}"/>
    <cellStyle name="Normal 2 4 5 2 2 8 2" xfId="21631" xr:uid="{1F218F94-B933-4FB5-AC46-C187318D235D}"/>
    <cellStyle name="Normal 2 4 5 2 2 8 3" xfId="13190" xr:uid="{BF658AD0-2EDE-46A2-B218-41CB42229198}"/>
    <cellStyle name="Normal 2 4 5 2 2 9" xfId="17413" xr:uid="{B195CB6A-630C-48C6-B4E3-0803DD372B5E}"/>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4192" xr:uid="{FFAB66C8-544F-406E-9E76-86F7D4A8AF4B}"/>
    <cellStyle name="Normal 2 4 5 2 3 2 2 2 3" xfId="15751" xr:uid="{7683D63D-5EB8-4E91-BBD6-D651A7B976FA}"/>
    <cellStyle name="Normal 2 4 5 2 3 2 2 3" xfId="19974" xr:uid="{2FDC2EDD-9516-4C97-859C-63127186AD95}"/>
    <cellStyle name="Normal 2 4 5 2 3 2 2 4" xfId="11532" xr:uid="{D8B08795-C745-42F0-84C9-063B758001AC}"/>
    <cellStyle name="Normal 2 4 5 2 3 2 3" xfId="5112" xr:uid="{00000000-0005-0000-0000-000063100000}"/>
    <cellStyle name="Normal 2 4 5 2 3 2 3 2" xfId="22047" xr:uid="{67501AFD-D929-43B9-B8BF-901AE7686E3D}"/>
    <cellStyle name="Normal 2 4 5 2 3 2 3 3" xfId="13606" xr:uid="{36463818-14F1-4C37-B995-789C3F012191}"/>
    <cellStyle name="Normal 2 4 5 2 3 2 4" xfId="17829" xr:uid="{DBE267E1-9620-402A-A4E7-A638D4632D96}"/>
    <cellStyle name="Normal 2 4 5 2 3 2 5" xfId="9355" xr:uid="{F7C58C82-EDD6-43E5-ABBF-4EC4C6B1533C}"/>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4605" xr:uid="{6C51FFE6-1823-4AC6-A11B-A965E61174F7}"/>
    <cellStyle name="Normal 2 4 5 2 3 3 2 2 3" xfId="16164" xr:uid="{4A7D1A40-1EC9-46AF-A864-F5D8746A5FC4}"/>
    <cellStyle name="Normal 2 4 5 2 3 3 2 3" xfId="20387" xr:uid="{A6F2A0E1-D2D3-40C3-BAE2-AA3015BE73A6}"/>
    <cellStyle name="Normal 2 4 5 2 3 3 2 4" xfId="11945" xr:uid="{50A10D85-F248-41A3-AEF3-BF56DD6A1ABB}"/>
    <cellStyle name="Normal 2 4 5 2 3 3 3" xfId="5525" xr:uid="{00000000-0005-0000-0000-000067100000}"/>
    <cellStyle name="Normal 2 4 5 2 3 3 3 2" xfId="22460" xr:uid="{7167CA48-6E74-4AA0-A74B-296774CCD43C}"/>
    <cellStyle name="Normal 2 4 5 2 3 3 3 3" xfId="14019" xr:uid="{95C1E978-3B11-43ED-AF9C-C4B178BDFEC3}"/>
    <cellStyle name="Normal 2 4 5 2 3 3 4" xfId="18242" xr:uid="{716E8D53-E254-4FA6-B3E8-F5DA57F1F28C}"/>
    <cellStyle name="Normal 2 4 5 2 3 3 5" xfId="9768" xr:uid="{94491120-BE58-4171-B38F-03569ECE4EE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5018" xr:uid="{B341810C-FBE3-45A0-8818-C58804730839}"/>
    <cellStyle name="Normal 2 4 5 2 3 4 2 2 3" xfId="16577" xr:uid="{1C49EB3D-6162-40DB-A71B-94A5FE908EE1}"/>
    <cellStyle name="Normal 2 4 5 2 3 4 2 3" xfId="20800" xr:uid="{DF2FBEF7-A2C6-4E72-9789-724858174C98}"/>
    <cellStyle name="Normal 2 4 5 2 3 4 2 4" xfId="12358" xr:uid="{C830F80F-9761-4D85-ADD5-1D16C83E4273}"/>
    <cellStyle name="Normal 2 4 5 2 3 4 3" xfId="5938" xr:uid="{00000000-0005-0000-0000-00006B100000}"/>
    <cellStyle name="Normal 2 4 5 2 3 4 3 2" xfId="22873" xr:uid="{AB86D473-BBEF-432E-AC77-6AC6FF344AF5}"/>
    <cellStyle name="Normal 2 4 5 2 3 4 3 3" xfId="14432" xr:uid="{8A2E68BD-2667-4B81-8986-8DDD9F1F9ADB}"/>
    <cellStyle name="Normal 2 4 5 2 3 4 4" xfId="18655" xr:uid="{A414DE51-E44F-4CC2-856C-A9656843EAF9}"/>
    <cellStyle name="Normal 2 4 5 2 3 4 5" xfId="10181" xr:uid="{19C6702C-5F85-4235-96EB-A73FE906C314}"/>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5431" xr:uid="{B345B5E3-3217-4FB8-A440-242BF7860458}"/>
    <cellStyle name="Normal 2 4 5 2 3 5 2 2 3" xfId="16990" xr:uid="{89B5354A-0BBD-4B51-827D-1E587B107CAE}"/>
    <cellStyle name="Normal 2 4 5 2 3 5 2 3" xfId="21213" xr:uid="{47964E92-2FC8-4B11-A630-9C4C0209B475}"/>
    <cellStyle name="Normal 2 4 5 2 3 5 2 4" xfId="12771" xr:uid="{0AC27300-A01B-42A1-BD1A-CDFEF96D2F82}"/>
    <cellStyle name="Normal 2 4 5 2 3 5 3" xfId="6351" xr:uid="{00000000-0005-0000-0000-00006F100000}"/>
    <cellStyle name="Normal 2 4 5 2 3 5 3 2" xfId="23286" xr:uid="{0E4A31F1-48CA-4EA9-99A3-833012B50D6A}"/>
    <cellStyle name="Normal 2 4 5 2 3 5 3 3" xfId="14845" xr:uid="{700D43E4-2584-4D68-8CF8-13FCAA3D8C65}"/>
    <cellStyle name="Normal 2 4 5 2 3 5 4" xfId="19068" xr:uid="{0F4158E3-356B-4D85-A6DB-005D8C14BA43}"/>
    <cellStyle name="Normal 2 4 5 2 3 5 5" xfId="10594" xr:uid="{65ECFFF2-670B-4978-A85E-4A045662253D}"/>
    <cellStyle name="Normal 2 4 5 2 3 6" xfId="2481" xr:uid="{00000000-0005-0000-0000-000070100000}"/>
    <cellStyle name="Normal 2 4 5 2 3 6 2" xfId="6764" xr:uid="{00000000-0005-0000-0000-000071100000}"/>
    <cellStyle name="Normal 2 4 5 2 3 6 2 2" xfId="23699" xr:uid="{CE0ED8A5-7453-4999-BE97-0DA04156CFB8}"/>
    <cellStyle name="Normal 2 4 5 2 3 6 2 3" xfId="15258" xr:uid="{D4AD3C7F-3DA2-4CAB-8421-3E2FED497DD1}"/>
    <cellStyle name="Normal 2 4 5 2 3 6 3" xfId="19481" xr:uid="{2D6B67E1-864A-4A0C-BF17-3EA8F008292C}"/>
    <cellStyle name="Normal 2 4 5 2 3 6 4" xfId="11029" xr:uid="{F66B8B2D-25EA-4FAD-86E8-E8540DE8D6F1}"/>
    <cellStyle name="Normal 2 4 5 2 3 7" xfId="4698" xr:uid="{00000000-0005-0000-0000-000072100000}"/>
    <cellStyle name="Normal 2 4 5 2 3 7 2" xfId="21633" xr:uid="{4498C3E1-A593-4FF7-A038-3004A6DCF883}"/>
    <cellStyle name="Normal 2 4 5 2 3 7 3" xfId="13192" xr:uid="{1A48A5FC-3B6B-490D-B34E-D17828181857}"/>
    <cellStyle name="Normal 2 4 5 2 3 8" xfId="17415" xr:uid="{4FB5C308-BDE6-4AE1-93E1-6328E0BB0B04}"/>
    <cellStyle name="Normal 2 4 5 2 3 9" xfId="8940" xr:uid="{F9C01A21-D1DB-4589-9A07-F25E0BD73BCA}"/>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4189" xr:uid="{BE6159EE-1324-49D8-AFF6-AA8C209F745B}"/>
    <cellStyle name="Normal 2 4 5 2 4 2 2 3" xfId="15748" xr:uid="{45891C91-307C-4858-8D06-8F17196A9DE3}"/>
    <cellStyle name="Normal 2 4 5 2 4 2 3" xfId="19971" xr:uid="{1A538503-440B-4533-8B8C-F4E415202F5D}"/>
    <cellStyle name="Normal 2 4 5 2 4 2 4" xfId="11529" xr:uid="{9D8CAFA8-9DC9-4E10-B225-FA56B01C6FFC}"/>
    <cellStyle name="Normal 2 4 5 2 4 3" xfId="5109" xr:uid="{00000000-0005-0000-0000-000076100000}"/>
    <cellStyle name="Normal 2 4 5 2 4 3 2" xfId="22044" xr:uid="{B7E4105A-D90B-4020-A590-9867197CE10D}"/>
    <cellStyle name="Normal 2 4 5 2 4 3 3" xfId="13603" xr:uid="{3FDE3587-98CC-482C-B177-43F43ECBA906}"/>
    <cellStyle name="Normal 2 4 5 2 4 4" xfId="17826" xr:uid="{C9DA22B9-12CA-4BFD-BB02-B803621F45CB}"/>
    <cellStyle name="Normal 2 4 5 2 4 5" xfId="9352" xr:uid="{D00FB010-C0E7-46B1-BA12-6F08F1F48050}"/>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4602" xr:uid="{7213E690-D918-4ECE-9DF3-1FD862999614}"/>
    <cellStyle name="Normal 2 4 5 2 5 2 2 3" xfId="16161" xr:uid="{2E716FA9-EB92-4F6F-B5A0-89198F26C40D}"/>
    <cellStyle name="Normal 2 4 5 2 5 2 3" xfId="20384" xr:uid="{892FD19F-FA26-4A48-85D7-49B63BA24F59}"/>
    <cellStyle name="Normal 2 4 5 2 5 2 4" xfId="11942" xr:uid="{518CA1A4-B18B-4D20-94B8-8037665AB9C5}"/>
    <cellStyle name="Normal 2 4 5 2 5 3" xfId="5522" xr:uid="{00000000-0005-0000-0000-00007A100000}"/>
    <cellStyle name="Normal 2 4 5 2 5 3 2" xfId="22457" xr:uid="{43436704-0543-45C4-8D31-0D43F9FDD9E8}"/>
    <cellStyle name="Normal 2 4 5 2 5 3 3" xfId="14016" xr:uid="{DD4085E9-3659-4689-BC21-4DE173D0FA1F}"/>
    <cellStyle name="Normal 2 4 5 2 5 4" xfId="18239" xr:uid="{1DC8A532-A31A-4D11-8185-A1590D4BE378}"/>
    <cellStyle name="Normal 2 4 5 2 5 5" xfId="9765" xr:uid="{46CE06ED-4242-4AE1-9E9E-2F8271772CAB}"/>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5015" xr:uid="{EF2E2A12-1490-4CE7-A757-18493AB38BA5}"/>
    <cellStyle name="Normal 2 4 5 2 6 2 2 3" xfId="16574" xr:uid="{09582EAD-9164-407C-964A-2CC4D2467E14}"/>
    <cellStyle name="Normal 2 4 5 2 6 2 3" xfId="20797" xr:uid="{92D2CA53-A9E2-40CA-99FB-9EE6DE35E692}"/>
    <cellStyle name="Normal 2 4 5 2 6 2 4" xfId="12355" xr:uid="{A7A59355-3121-438F-887D-11200C2BC5F9}"/>
    <cellStyle name="Normal 2 4 5 2 6 3" xfId="5935" xr:uid="{00000000-0005-0000-0000-00007E100000}"/>
    <cellStyle name="Normal 2 4 5 2 6 3 2" xfId="22870" xr:uid="{5DAE69D5-0EDB-436D-9DE7-7543879917C8}"/>
    <cellStyle name="Normal 2 4 5 2 6 3 3" xfId="14429" xr:uid="{B5A782D4-B632-4FFF-83D6-BAA20CB77BC4}"/>
    <cellStyle name="Normal 2 4 5 2 6 4" xfId="18652" xr:uid="{823AA795-2ED9-4619-ACBB-72F37CC3CE41}"/>
    <cellStyle name="Normal 2 4 5 2 6 5" xfId="10178" xr:uid="{717CED00-8DCE-40E0-AFF7-87C46D2252FB}"/>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5428" xr:uid="{010EA194-A0E5-4922-A58B-CFDD56D3BD4B}"/>
    <cellStyle name="Normal 2 4 5 2 7 2 2 3" xfId="16987" xr:uid="{2DC50497-A81C-43CF-A24C-F7AEB6DCF300}"/>
    <cellStyle name="Normal 2 4 5 2 7 2 3" xfId="21210" xr:uid="{4A93CA4D-CA11-4385-BBCD-3CAB9F7BE6C7}"/>
    <cellStyle name="Normal 2 4 5 2 7 2 4" xfId="12768" xr:uid="{B318EBAC-CFE6-4E34-B7D3-43ED4F1D7AB7}"/>
    <cellStyle name="Normal 2 4 5 2 7 3" xfId="6348" xr:uid="{00000000-0005-0000-0000-000082100000}"/>
    <cellStyle name="Normal 2 4 5 2 7 3 2" xfId="23283" xr:uid="{B70627D0-50C9-48FE-A7B6-D9F97DF9873F}"/>
    <cellStyle name="Normal 2 4 5 2 7 3 3" xfId="14842" xr:uid="{B0F88F22-A622-4EC1-A116-062F9B76D6B7}"/>
    <cellStyle name="Normal 2 4 5 2 7 4" xfId="19065" xr:uid="{94695F6A-487F-436D-8824-D590F42C5D9D}"/>
    <cellStyle name="Normal 2 4 5 2 7 5" xfId="10591" xr:uid="{1E21A187-F257-4BF9-8A50-DD0FAD27008F}"/>
    <cellStyle name="Normal 2 4 5 2 8" xfId="2478" xr:uid="{00000000-0005-0000-0000-000083100000}"/>
    <cellStyle name="Normal 2 4 5 2 8 2" xfId="6761" xr:uid="{00000000-0005-0000-0000-000084100000}"/>
    <cellStyle name="Normal 2 4 5 2 8 2 2" xfId="23696" xr:uid="{53900B70-D11B-45E6-9680-A893BB59BF13}"/>
    <cellStyle name="Normal 2 4 5 2 8 2 3" xfId="15255" xr:uid="{B2FAD06F-8FAF-4289-9BB9-ADDA4764BB9B}"/>
    <cellStyle name="Normal 2 4 5 2 8 3" xfId="19478" xr:uid="{F803BAD3-387F-4875-9BD6-0F31D0BE5481}"/>
    <cellStyle name="Normal 2 4 5 2 8 4" xfId="11026" xr:uid="{2A46D642-D195-47F5-8AF2-6C72C9E4918A}"/>
    <cellStyle name="Normal 2 4 5 2 9" xfId="4695" xr:uid="{00000000-0005-0000-0000-000085100000}"/>
    <cellStyle name="Normal 2 4 5 2 9 2" xfId="21630" xr:uid="{2424C7CE-656A-4C3A-9563-3A046E59375C}"/>
    <cellStyle name="Normal 2 4 5 2 9 3" xfId="13189" xr:uid="{CF3BA450-30B5-4000-9C9E-69F6306C8E54}"/>
    <cellStyle name="Normal 2 4 5 3" xfId="308" xr:uid="{00000000-0005-0000-0000-000086100000}"/>
    <cellStyle name="Normal 2 4 5 3 10" xfId="8941" xr:uid="{4AFBC712-0F65-4EA1-8E8E-FBD46770961B}"/>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4194" xr:uid="{59A188FB-1722-4BB0-B5FB-34F488262B88}"/>
    <cellStyle name="Normal 2 4 5 3 2 2 2 2 3" xfId="15753" xr:uid="{23A1BA66-1450-473D-8799-DCBBAFD00EBD}"/>
    <cellStyle name="Normal 2 4 5 3 2 2 2 3" xfId="19976" xr:uid="{439510B9-AB26-4B89-AF8A-9BC9B755B30E}"/>
    <cellStyle name="Normal 2 4 5 3 2 2 2 4" xfId="11534" xr:uid="{EF410434-C887-4AAB-8FE8-FAE21F70BFD2}"/>
    <cellStyle name="Normal 2 4 5 3 2 2 3" xfId="5114" xr:uid="{00000000-0005-0000-0000-00008B100000}"/>
    <cellStyle name="Normal 2 4 5 3 2 2 3 2" xfId="22049" xr:uid="{08E5BC48-D20D-44A5-848F-CA683B5D46F7}"/>
    <cellStyle name="Normal 2 4 5 3 2 2 3 3" xfId="13608" xr:uid="{45492B11-A066-4FF8-8160-8776BDCF7A6B}"/>
    <cellStyle name="Normal 2 4 5 3 2 2 4" xfId="17831" xr:uid="{6FAFF727-E170-4998-9C1F-58D37826B143}"/>
    <cellStyle name="Normal 2 4 5 3 2 2 5" xfId="9357" xr:uid="{1CC8137A-4BD9-418F-907A-C314983AA528}"/>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4607" xr:uid="{648AF10D-8B65-4DB1-B197-55AEFFE7C9CD}"/>
    <cellStyle name="Normal 2 4 5 3 2 3 2 2 3" xfId="16166" xr:uid="{48CB36CC-677F-4AF6-B37F-4723EACD4E47}"/>
    <cellStyle name="Normal 2 4 5 3 2 3 2 3" xfId="20389" xr:uid="{B33C4A5C-52E4-403E-B7F4-BA63230E892F}"/>
    <cellStyle name="Normal 2 4 5 3 2 3 2 4" xfId="11947" xr:uid="{136E25A0-D0EA-44C3-8BC7-3C248E56EB46}"/>
    <cellStyle name="Normal 2 4 5 3 2 3 3" xfId="5527" xr:uid="{00000000-0005-0000-0000-00008F100000}"/>
    <cellStyle name="Normal 2 4 5 3 2 3 3 2" xfId="22462" xr:uid="{7B479F70-C352-414F-B3EC-96699FAA4D95}"/>
    <cellStyle name="Normal 2 4 5 3 2 3 3 3" xfId="14021" xr:uid="{09B51C35-9CAF-4FD8-9D6F-2081AF38CE40}"/>
    <cellStyle name="Normal 2 4 5 3 2 3 4" xfId="18244" xr:uid="{E69695E2-720B-40D6-AD33-6E0BF75FF474}"/>
    <cellStyle name="Normal 2 4 5 3 2 3 5" xfId="9770" xr:uid="{6290E1FD-0E9E-4333-B6CC-F07778EB0372}"/>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5020" xr:uid="{A2AA1DA9-BDC3-4AA3-8F6A-C2E14870270F}"/>
    <cellStyle name="Normal 2 4 5 3 2 4 2 2 3" xfId="16579" xr:uid="{50D31D7A-73A2-4C51-BB27-4D24DA787D37}"/>
    <cellStyle name="Normal 2 4 5 3 2 4 2 3" xfId="20802" xr:uid="{CC6392E0-90B0-4EA1-8C34-41E64EF5CFAF}"/>
    <cellStyle name="Normal 2 4 5 3 2 4 2 4" xfId="12360" xr:uid="{7A74C28C-20DF-4736-B349-1EA09F50F41F}"/>
    <cellStyle name="Normal 2 4 5 3 2 4 3" xfId="5940" xr:uid="{00000000-0005-0000-0000-000093100000}"/>
    <cellStyle name="Normal 2 4 5 3 2 4 3 2" xfId="22875" xr:uid="{75D57254-FCC7-4A73-B876-F81DEF7104BE}"/>
    <cellStyle name="Normal 2 4 5 3 2 4 3 3" xfId="14434" xr:uid="{A92E896F-8EF3-4185-B646-1135024C6A52}"/>
    <cellStyle name="Normal 2 4 5 3 2 4 4" xfId="18657" xr:uid="{DF69F91E-DBAF-4E28-82D9-F8CBA53B52F9}"/>
    <cellStyle name="Normal 2 4 5 3 2 4 5" xfId="10183" xr:uid="{BE4BB160-41EB-4A7D-9874-685D9CC88F0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5433" xr:uid="{5954C6AA-C5D9-4F13-9B50-1AD4D3802CC8}"/>
    <cellStyle name="Normal 2 4 5 3 2 5 2 2 3" xfId="16992" xr:uid="{DF051B8E-7F14-4096-BA0E-4AD7162F0674}"/>
    <cellStyle name="Normal 2 4 5 3 2 5 2 3" xfId="21215" xr:uid="{E3857E25-65B4-4E72-A3A6-E9A351EFB258}"/>
    <cellStyle name="Normal 2 4 5 3 2 5 2 4" xfId="12773" xr:uid="{A1BED86D-1BBB-47E3-8A8F-970E8D82F59D}"/>
    <cellStyle name="Normal 2 4 5 3 2 5 3" xfId="6353" xr:uid="{00000000-0005-0000-0000-000097100000}"/>
    <cellStyle name="Normal 2 4 5 3 2 5 3 2" xfId="23288" xr:uid="{502A4D73-A2A7-4E2B-BFF6-068542F7F73C}"/>
    <cellStyle name="Normal 2 4 5 3 2 5 3 3" xfId="14847" xr:uid="{9F0788C9-0642-41EE-A488-4FDC704F66F0}"/>
    <cellStyle name="Normal 2 4 5 3 2 5 4" xfId="19070" xr:uid="{CC575776-9516-4205-9838-4498E0293821}"/>
    <cellStyle name="Normal 2 4 5 3 2 5 5" xfId="10596" xr:uid="{933C618F-1A80-4447-AF0E-5DCE75D516ED}"/>
    <cellStyle name="Normal 2 4 5 3 2 6" xfId="2483" xr:uid="{00000000-0005-0000-0000-000098100000}"/>
    <cellStyle name="Normal 2 4 5 3 2 6 2" xfId="6766" xr:uid="{00000000-0005-0000-0000-000099100000}"/>
    <cellStyle name="Normal 2 4 5 3 2 6 2 2" xfId="23701" xr:uid="{72E8D517-D004-4D8B-B085-C9FF3C9DDCAB}"/>
    <cellStyle name="Normal 2 4 5 3 2 6 2 3" xfId="15260" xr:uid="{4F66E450-2D9E-4016-8C4A-746A9A9CFDDB}"/>
    <cellStyle name="Normal 2 4 5 3 2 6 3" xfId="19483" xr:uid="{DE2BBAAD-08F9-4337-BA75-3A3F56A795D6}"/>
    <cellStyle name="Normal 2 4 5 3 2 6 4" xfId="11031" xr:uid="{91B4987E-9005-4CCF-8EDC-8DE04D980B95}"/>
    <cellStyle name="Normal 2 4 5 3 2 7" xfId="4700" xr:uid="{00000000-0005-0000-0000-00009A100000}"/>
    <cellStyle name="Normal 2 4 5 3 2 7 2" xfId="21635" xr:uid="{FDF1615E-F22F-42AC-BD62-C15529069371}"/>
    <cellStyle name="Normal 2 4 5 3 2 7 3" xfId="13194" xr:uid="{4F4F5454-F771-44A4-9BF1-DAC87BDE4F55}"/>
    <cellStyle name="Normal 2 4 5 3 2 8" xfId="17417" xr:uid="{8787957E-B18C-4E6F-B970-FD079EAA0F0F}"/>
    <cellStyle name="Normal 2 4 5 3 2 9" xfId="8942" xr:uid="{A162E670-77DB-4037-954B-5F819846995A}"/>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4193" xr:uid="{5E7EE544-5FAB-4568-A4D4-71767B39B9A9}"/>
    <cellStyle name="Normal 2 4 5 3 3 2 2 3" xfId="15752" xr:uid="{B6952E2F-63D7-4509-889E-06E790313F8A}"/>
    <cellStyle name="Normal 2 4 5 3 3 2 3" xfId="19975" xr:uid="{468B80F9-9338-4762-9A89-30FB2F88B6F1}"/>
    <cellStyle name="Normal 2 4 5 3 3 2 4" xfId="11533" xr:uid="{09693C00-879E-44B0-949A-3C00EBD1514F}"/>
    <cellStyle name="Normal 2 4 5 3 3 3" xfId="5113" xr:uid="{00000000-0005-0000-0000-00009E100000}"/>
    <cellStyle name="Normal 2 4 5 3 3 3 2" xfId="22048" xr:uid="{25BF7F01-E988-4998-BDB7-A71B0E60BDD2}"/>
    <cellStyle name="Normal 2 4 5 3 3 3 3" xfId="13607" xr:uid="{DA74F615-054D-43DF-A6C8-3FB3B5D8299F}"/>
    <cellStyle name="Normal 2 4 5 3 3 4" xfId="17830" xr:uid="{A043760E-530A-458D-86CC-2209313E08C4}"/>
    <cellStyle name="Normal 2 4 5 3 3 5" xfId="9356" xr:uid="{66BC26FF-C520-4B81-A62C-705AD0CC7D88}"/>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4606" xr:uid="{95DE3FD4-A4B2-4FD7-8713-7D0478EB2CC3}"/>
    <cellStyle name="Normal 2 4 5 3 4 2 2 3" xfId="16165" xr:uid="{2A2352E6-7626-427F-90A3-BB6E919EA054}"/>
    <cellStyle name="Normal 2 4 5 3 4 2 3" xfId="20388" xr:uid="{47354470-3045-4FB6-8F0B-3F773525F660}"/>
    <cellStyle name="Normal 2 4 5 3 4 2 4" xfId="11946" xr:uid="{962FA595-65B9-4431-9CF5-0B756F3B3B7D}"/>
    <cellStyle name="Normal 2 4 5 3 4 3" xfId="5526" xr:uid="{00000000-0005-0000-0000-0000A2100000}"/>
    <cellStyle name="Normal 2 4 5 3 4 3 2" xfId="22461" xr:uid="{12DF658B-6F49-41ED-AEB2-90AE492F7A81}"/>
    <cellStyle name="Normal 2 4 5 3 4 3 3" xfId="14020" xr:uid="{63B1C514-0013-4469-BC39-B9446EA2923F}"/>
    <cellStyle name="Normal 2 4 5 3 4 4" xfId="18243" xr:uid="{FD55A616-EEA0-4BFA-8ADC-6792BD15C2DA}"/>
    <cellStyle name="Normal 2 4 5 3 4 5" xfId="9769" xr:uid="{4C791A2C-1E36-43B5-919F-19F7BDE144EA}"/>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5019" xr:uid="{C16F9AD5-7300-450A-9304-6C4F92838E2C}"/>
    <cellStyle name="Normal 2 4 5 3 5 2 2 3" xfId="16578" xr:uid="{A74ACF02-62B6-46BB-BE14-2F915C498B3C}"/>
    <cellStyle name="Normal 2 4 5 3 5 2 3" xfId="20801" xr:uid="{FBF783F9-BB8F-4402-99B8-2D62CDFF9797}"/>
    <cellStyle name="Normal 2 4 5 3 5 2 4" xfId="12359" xr:uid="{FAAB5B1D-77FC-419C-AC52-A014FF40AFA4}"/>
    <cellStyle name="Normal 2 4 5 3 5 3" xfId="5939" xr:uid="{00000000-0005-0000-0000-0000A6100000}"/>
    <cellStyle name="Normal 2 4 5 3 5 3 2" xfId="22874" xr:uid="{4C5BAE5E-98CA-443C-A49D-2D2F685F2DA9}"/>
    <cellStyle name="Normal 2 4 5 3 5 3 3" xfId="14433" xr:uid="{3611DAA9-A911-407C-A6C3-F2D407CE6772}"/>
    <cellStyle name="Normal 2 4 5 3 5 4" xfId="18656" xr:uid="{0CF8FB76-E7F3-4655-B909-7DE3BA4C2B75}"/>
    <cellStyle name="Normal 2 4 5 3 5 5" xfId="10182" xr:uid="{5BBB4B39-A1CD-420D-ADFB-5394D72ED186}"/>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5432" xr:uid="{415C1AFB-AA24-46A2-A29A-F38B9906FA2D}"/>
    <cellStyle name="Normal 2 4 5 3 6 2 2 3" xfId="16991" xr:uid="{65D2FD76-50A8-4DAA-88F7-44E862449A94}"/>
    <cellStyle name="Normal 2 4 5 3 6 2 3" xfId="21214" xr:uid="{853BBC48-F55F-43E1-8330-0334774ED5C5}"/>
    <cellStyle name="Normal 2 4 5 3 6 2 4" xfId="12772" xr:uid="{B7AB8C08-B66C-487C-8FD4-FE3A938501A2}"/>
    <cellStyle name="Normal 2 4 5 3 6 3" xfId="6352" xr:uid="{00000000-0005-0000-0000-0000AA100000}"/>
    <cellStyle name="Normal 2 4 5 3 6 3 2" xfId="23287" xr:uid="{D514F06B-117A-4D46-9F52-EAD9CA3E9CC7}"/>
    <cellStyle name="Normal 2 4 5 3 6 3 3" xfId="14846" xr:uid="{C1522F26-4DF0-4725-A744-EB381047D390}"/>
    <cellStyle name="Normal 2 4 5 3 6 4" xfId="19069" xr:uid="{823AC3D8-B258-477F-AAF5-6AFD78EE2F2A}"/>
    <cellStyle name="Normal 2 4 5 3 6 5" xfId="10595" xr:uid="{D74BEFBC-96B6-4D7B-8FC8-6EF0E54B74B7}"/>
    <cellStyle name="Normal 2 4 5 3 7" xfId="2482" xr:uid="{00000000-0005-0000-0000-0000AB100000}"/>
    <cellStyle name="Normal 2 4 5 3 7 2" xfId="6765" xr:uid="{00000000-0005-0000-0000-0000AC100000}"/>
    <cellStyle name="Normal 2 4 5 3 7 2 2" xfId="23700" xr:uid="{A6645E1A-3A45-4E7E-A179-18CEAF14C64A}"/>
    <cellStyle name="Normal 2 4 5 3 7 2 3" xfId="15259" xr:uid="{384AE5CC-B6A3-4EAD-AA3F-51A55D2966E7}"/>
    <cellStyle name="Normal 2 4 5 3 7 3" xfId="19482" xr:uid="{D03F36DA-EFC2-4CD6-9957-028730F72016}"/>
    <cellStyle name="Normal 2 4 5 3 7 4" xfId="11030" xr:uid="{D194C254-9BF8-4A8A-9C5B-61EAD25D4747}"/>
    <cellStyle name="Normal 2 4 5 3 8" xfId="4699" xr:uid="{00000000-0005-0000-0000-0000AD100000}"/>
    <cellStyle name="Normal 2 4 5 3 8 2" xfId="21634" xr:uid="{2CF61D12-3DD6-430B-88AA-AB3D3DF4AD7C}"/>
    <cellStyle name="Normal 2 4 5 3 8 3" xfId="13193" xr:uid="{33E61673-F03B-404A-BBE6-A3A9A0B32FBB}"/>
    <cellStyle name="Normal 2 4 5 3 9" xfId="17416" xr:uid="{26ED193D-53D5-4E4B-878E-ABFACC021E1F}"/>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4195" xr:uid="{8A8E889F-21F8-4120-9F8D-BC218950608A}"/>
    <cellStyle name="Normal 2 4 5 4 2 2 2 3" xfId="15754" xr:uid="{79620027-50EA-456C-A88E-EEEAF839B470}"/>
    <cellStyle name="Normal 2 4 5 4 2 2 3" xfId="19977" xr:uid="{B6C17ED1-EAFF-43C4-B135-138E8352D121}"/>
    <cellStyle name="Normal 2 4 5 4 2 2 4" xfId="11535" xr:uid="{533F5FC7-1FDB-4C61-9495-06D20F5D4C37}"/>
    <cellStyle name="Normal 2 4 5 4 2 3" xfId="5115" xr:uid="{00000000-0005-0000-0000-0000B2100000}"/>
    <cellStyle name="Normal 2 4 5 4 2 3 2" xfId="22050" xr:uid="{70D7557F-D01A-4EFB-B652-0B859DBE0404}"/>
    <cellStyle name="Normal 2 4 5 4 2 3 3" xfId="13609" xr:uid="{E604A419-88A1-4D35-895A-ECBEFA58C3E8}"/>
    <cellStyle name="Normal 2 4 5 4 2 4" xfId="17832" xr:uid="{724915F3-9DD5-4584-97D8-845A597F6ABF}"/>
    <cellStyle name="Normal 2 4 5 4 2 5" xfId="9358" xr:uid="{D7E8CD1D-53BD-4ECC-ABDA-D2F05B2DE648}"/>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4608" xr:uid="{962E511D-36C3-45B6-8D6C-6AFCF5E35F29}"/>
    <cellStyle name="Normal 2 4 5 4 3 2 2 3" xfId="16167" xr:uid="{BEBE1222-6D23-4437-83C8-C962A3B10A4D}"/>
    <cellStyle name="Normal 2 4 5 4 3 2 3" xfId="20390" xr:uid="{FC59B4F3-66DF-49B4-BF49-158FCB61F636}"/>
    <cellStyle name="Normal 2 4 5 4 3 2 4" xfId="11948" xr:uid="{DDB41B0B-4340-4D71-AD3F-FE950CE195D3}"/>
    <cellStyle name="Normal 2 4 5 4 3 3" xfId="5528" xr:uid="{00000000-0005-0000-0000-0000B6100000}"/>
    <cellStyle name="Normal 2 4 5 4 3 3 2" xfId="22463" xr:uid="{B2646014-291F-479A-A6E3-3403EF20E879}"/>
    <cellStyle name="Normal 2 4 5 4 3 3 3" xfId="14022" xr:uid="{15FF1CEF-9474-49D5-BEE7-FFB70B32FB1D}"/>
    <cellStyle name="Normal 2 4 5 4 3 4" xfId="18245" xr:uid="{DE32403F-EB48-4C23-A621-10B4F359AAF2}"/>
    <cellStyle name="Normal 2 4 5 4 3 5" xfId="9771" xr:uid="{646A18E2-9605-4D79-826C-105452761811}"/>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5021" xr:uid="{646FD03A-C8EC-4038-9903-D5545632D161}"/>
    <cellStyle name="Normal 2 4 5 4 4 2 2 3" xfId="16580" xr:uid="{BAAC719A-A065-4DF7-88F8-B9E8E5F68D67}"/>
    <cellStyle name="Normal 2 4 5 4 4 2 3" xfId="20803" xr:uid="{39460AD8-EA7F-4986-AD35-2438889619E6}"/>
    <cellStyle name="Normal 2 4 5 4 4 2 4" xfId="12361" xr:uid="{528B1853-598E-4955-B3CD-B3B7F67ED722}"/>
    <cellStyle name="Normal 2 4 5 4 4 3" xfId="5941" xr:uid="{00000000-0005-0000-0000-0000BA100000}"/>
    <cellStyle name="Normal 2 4 5 4 4 3 2" xfId="22876" xr:uid="{A173C26D-9A11-4100-9C45-375D72FC3F86}"/>
    <cellStyle name="Normal 2 4 5 4 4 3 3" xfId="14435" xr:uid="{0D1BFEA3-0ED2-4DC8-BC04-A7267721E827}"/>
    <cellStyle name="Normal 2 4 5 4 4 4" xfId="18658" xr:uid="{52321288-A73C-4324-8BA7-F4E53CFA1839}"/>
    <cellStyle name="Normal 2 4 5 4 4 5" xfId="10184" xr:uid="{1F5F9A6C-39B7-49EC-A6FA-813AA42ED5B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5434" xr:uid="{19DAD1BB-39CC-4592-8E4F-A8752AF18471}"/>
    <cellStyle name="Normal 2 4 5 4 5 2 2 3" xfId="16993" xr:uid="{9B112DA4-C3BA-4C2F-9DD2-7A5197400DFC}"/>
    <cellStyle name="Normal 2 4 5 4 5 2 3" xfId="21216" xr:uid="{0E890C52-6F9C-420B-9D5A-BFAF132BDA76}"/>
    <cellStyle name="Normal 2 4 5 4 5 2 4" xfId="12774" xr:uid="{BE137DA0-E2D5-4F5E-BB52-D7F6D0EC7647}"/>
    <cellStyle name="Normal 2 4 5 4 5 3" xfId="6354" xr:uid="{00000000-0005-0000-0000-0000BE100000}"/>
    <cellStyle name="Normal 2 4 5 4 5 3 2" xfId="23289" xr:uid="{000643DD-F8D4-4182-B01D-F5A814D2E207}"/>
    <cellStyle name="Normal 2 4 5 4 5 3 3" xfId="14848" xr:uid="{6FDBB524-E9FB-4044-A447-9E4FACDC93C1}"/>
    <cellStyle name="Normal 2 4 5 4 5 4" xfId="19071" xr:uid="{9ACF70B0-99D3-4189-B715-C2F3B6F225E1}"/>
    <cellStyle name="Normal 2 4 5 4 5 5" xfId="10597" xr:uid="{17EA8B95-7CE6-4AC9-B4EB-55C5584F5870}"/>
    <cellStyle name="Normal 2 4 5 4 6" xfId="2484" xr:uid="{00000000-0005-0000-0000-0000BF100000}"/>
    <cellStyle name="Normal 2 4 5 4 6 2" xfId="6767" xr:uid="{00000000-0005-0000-0000-0000C0100000}"/>
    <cellStyle name="Normal 2 4 5 4 6 2 2" xfId="23702" xr:uid="{91937A10-6DD6-4BAC-B19E-1B34CC00A3EC}"/>
    <cellStyle name="Normal 2 4 5 4 6 2 3" xfId="15261" xr:uid="{2FF63A22-8D8D-45A6-87F8-16C6E17C3334}"/>
    <cellStyle name="Normal 2 4 5 4 6 3" xfId="19484" xr:uid="{63F03305-4F75-468D-9744-EDDAE5EA0ABB}"/>
    <cellStyle name="Normal 2 4 5 4 6 4" xfId="11032" xr:uid="{B088D02E-B02A-4301-95CF-51E0C6D7D7A3}"/>
    <cellStyle name="Normal 2 4 5 4 7" xfId="4701" xr:uid="{00000000-0005-0000-0000-0000C1100000}"/>
    <cellStyle name="Normal 2 4 5 4 7 2" xfId="21636" xr:uid="{6F493FAC-8EA9-4A40-BB4C-F90FEE1C85B3}"/>
    <cellStyle name="Normal 2 4 5 4 7 3" xfId="13195" xr:uid="{44719F2D-11A6-4811-BC01-434FCFA4D439}"/>
    <cellStyle name="Normal 2 4 5 4 8" xfId="17418" xr:uid="{10C50F38-FABD-405C-9EBB-0EA7161B1160}"/>
    <cellStyle name="Normal 2 4 5 4 9" xfId="8943" xr:uid="{7E6D04DD-B002-48BB-BC94-CD5392D2439C}"/>
    <cellStyle name="Normal 2 4 5 5" xfId="792" xr:uid="{00000000-0005-0000-0000-0000C2100000}"/>
    <cellStyle name="Normal 2 4 5 5 2" xfId="3031" xr:uid="{00000000-0005-0000-0000-0000C3100000}"/>
    <cellStyle name="Normal 2 4 5 5 2 2" xfId="7253" xr:uid="{00000000-0005-0000-0000-0000C4100000}"/>
    <cellStyle name="Normal 2 4 5 5 2 2 2" xfId="24188" xr:uid="{367F2F4D-3135-474C-959A-DA7819BCF620}"/>
    <cellStyle name="Normal 2 4 5 5 2 2 3" xfId="15747" xr:uid="{C255BFC7-2ABE-44DD-A180-AA3796867CBE}"/>
    <cellStyle name="Normal 2 4 5 5 2 3" xfId="19970" xr:uid="{0A307D82-7B90-4FEB-9031-92DC4BF11BA9}"/>
    <cellStyle name="Normal 2 4 5 5 2 4" xfId="11528" xr:uid="{2E289DAF-B924-4E2F-9C5C-566620C054A1}"/>
    <cellStyle name="Normal 2 4 5 5 3" xfId="5108" xr:uid="{00000000-0005-0000-0000-0000C5100000}"/>
    <cellStyle name="Normal 2 4 5 5 3 2" xfId="22043" xr:uid="{AAB5E897-E2D2-49CB-A1F9-10D04DB77053}"/>
    <cellStyle name="Normal 2 4 5 5 3 3" xfId="13602" xr:uid="{D103D692-9604-451D-ACF6-191C830EFBF8}"/>
    <cellStyle name="Normal 2 4 5 5 4" xfId="17825" xr:uid="{88271C84-D836-4591-91C1-6548ACF59E22}"/>
    <cellStyle name="Normal 2 4 5 5 5" xfId="9351" xr:uid="{656A5284-04ED-4E35-9584-A8B8FABD09D2}"/>
    <cellStyle name="Normal 2 4 5 6" xfId="1214" xr:uid="{00000000-0005-0000-0000-0000C6100000}"/>
    <cellStyle name="Normal 2 4 5 6 2" xfId="3444" xr:uid="{00000000-0005-0000-0000-0000C7100000}"/>
    <cellStyle name="Normal 2 4 5 6 2 2" xfId="7666" xr:uid="{00000000-0005-0000-0000-0000C8100000}"/>
    <cellStyle name="Normal 2 4 5 6 2 2 2" xfId="24601" xr:uid="{7306192B-6615-40A4-8CDF-5639CEFC17DD}"/>
    <cellStyle name="Normal 2 4 5 6 2 2 3" xfId="16160" xr:uid="{F40084ED-4FEE-40F3-9C46-1F0B0D9151B1}"/>
    <cellStyle name="Normal 2 4 5 6 2 3" xfId="20383" xr:uid="{139D5E67-32EF-4F4B-B463-A0A7BE9AD838}"/>
    <cellStyle name="Normal 2 4 5 6 2 4" xfId="11941" xr:uid="{85F0B8F1-AEBB-4DBD-8B8E-79BA0D7C27B2}"/>
    <cellStyle name="Normal 2 4 5 6 3" xfId="5521" xr:uid="{00000000-0005-0000-0000-0000C9100000}"/>
    <cellStyle name="Normal 2 4 5 6 3 2" xfId="22456" xr:uid="{066ADA54-3BFF-40D2-BD7E-18A71B1F3CA6}"/>
    <cellStyle name="Normal 2 4 5 6 3 3" xfId="14015" xr:uid="{37FECF1F-213B-405B-864E-E1C2D1C5A4BB}"/>
    <cellStyle name="Normal 2 4 5 6 4" xfId="18238" xr:uid="{0B365696-7F5C-4858-98F5-9858C7ECD1B5}"/>
    <cellStyle name="Normal 2 4 5 6 5" xfId="9764" xr:uid="{7CAED773-9573-4D98-B50A-AC3A82C44FB4}"/>
    <cellStyle name="Normal 2 4 5 7" xfId="1627" xr:uid="{00000000-0005-0000-0000-0000CA100000}"/>
    <cellStyle name="Normal 2 4 5 7 2" xfId="3857" xr:uid="{00000000-0005-0000-0000-0000CB100000}"/>
    <cellStyle name="Normal 2 4 5 7 2 2" xfId="8079" xr:uid="{00000000-0005-0000-0000-0000CC100000}"/>
    <cellStyle name="Normal 2 4 5 7 2 2 2" xfId="25014" xr:uid="{1389906D-388B-4754-AE36-99A6920EA07C}"/>
    <cellStyle name="Normal 2 4 5 7 2 2 3" xfId="16573" xr:uid="{0359DE14-6B6F-446B-BE8E-189B140A3958}"/>
    <cellStyle name="Normal 2 4 5 7 2 3" xfId="20796" xr:uid="{48A30A2B-6EC2-4023-AD88-4C389F63A9E1}"/>
    <cellStyle name="Normal 2 4 5 7 2 4" xfId="12354" xr:uid="{3E7D1AB0-ED23-48A4-86D1-CCF6E77145E4}"/>
    <cellStyle name="Normal 2 4 5 7 3" xfId="5934" xr:uid="{00000000-0005-0000-0000-0000CD100000}"/>
    <cellStyle name="Normal 2 4 5 7 3 2" xfId="22869" xr:uid="{6A5B168C-E247-4918-B20B-25A6876A2FC2}"/>
    <cellStyle name="Normal 2 4 5 7 3 3" xfId="14428" xr:uid="{081C22A4-A797-4CCA-8CD8-1E106887BC30}"/>
    <cellStyle name="Normal 2 4 5 7 4" xfId="18651" xr:uid="{A951894C-68FA-492B-B3C7-D1D63B47BD4F}"/>
    <cellStyle name="Normal 2 4 5 7 5" xfId="10177" xr:uid="{9057CD0A-36A5-49C6-826F-F7F795F23493}"/>
    <cellStyle name="Normal 2 4 5 8" xfId="2041" xr:uid="{00000000-0005-0000-0000-0000CE100000}"/>
    <cellStyle name="Normal 2 4 5 8 2" xfId="4270" xr:uid="{00000000-0005-0000-0000-0000CF100000}"/>
    <cellStyle name="Normal 2 4 5 8 2 2" xfId="8492" xr:uid="{00000000-0005-0000-0000-0000D0100000}"/>
    <cellStyle name="Normal 2 4 5 8 2 2 2" xfId="25427" xr:uid="{78DEFDD7-BFB5-44D1-825C-07BD07F2CAC1}"/>
    <cellStyle name="Normal 2 4 5 8 2 2 3" xfId="16986" xr:uid="{0A592C4E-B72A-45D2-8998-DAAC88A40359}"/>
    <cellStyle name="Normal 2 4 5 8 2 3" xfId="21209" xr:uid="{8D372496-9A4B-4A6C-9FA6-4F15145F8606}"/>
    <cellStyle name="Normal 2 4 5 8 2 4" xfId="12767" xr:uid="{C3636E34-07B7-4264-A697-527F7E9C6AD6}"/>
    <cellStyle name="Normal 2 4 5 8 3" xfId="6347" xr:uid="{00000000-0005-0000-0000-0000D1100000}"/>
    <cellStyle name="Normal 2 4 5 8 3 2" xfId="23282" xr:uid="{A5142450-A324-4D80-9A60-4C18970B3B7F}"/>
    <cellStyle name="Normal 2 4 5 8 3 3" xfId="14841" xr:uid="{E9CB5850-B0E6-4F6A-99A3-44CAE9EB8F70}"/>
    <cellStyle name="Normal 2 4 5 8 4" xfId="19064" xr:uid="{C3FC415C-6394-4292-86F1-A6E7F18017A8}"/>
    <cellStyle name="Normal 2 4 5 8 5" xfId="10590" xr:uid="{B56D68E2-F32E-4DB1-9E8B-3CD543103A6E}"/>
    <cellStyle name="Normal 2 4 5 9" xfId="2477" xr:uid="{00000000-0005-0000-0000-0000D2100000}"/>
    <cellStyle name="Normal 2 4 5 9 2" xfId="6760" xr:uid="{00000000-0005-0000-0000-0000D3100000}"/>
    <cellStyle name="Normal 2 4 5 9 2 2" xfId="23695" xr:uid="{0DB16C87-C590-40DB-A91D-C124E1276C95}"/>
    <cellStyle name="Normal 2 4 5 9 2 3" xfId="15254" xr:uid="{D0D9C37B-F756-429F-8411-153F03937FEC}"/>
    <cellStyle name="Normal 2 4 5 9 3" xfId="19477" xr:uid="{DCEB12C5-842E-4FFC-AF21-74AFE95280A8}"/>
    <cellStyle name="Normal 2 4 5 9 4" xfId="11025" xr:uid="{BBC535A2-2EBA-4135-9404-261265D632C6}"/>
    <cellStyle name="Normal 2 4 6" xfId="311" xr:uid="{00000000-0005-0000-0000-0000D4100000}"/>
    <cellStyle name="Normal 2 4 7" xfId="312" xr:uid="{00000000-0005-0000-0000-0000D5100000}"/>
    <cellStyle name="Normal 2 4 7 10" xfId="8944" xr:uid="{F99133C5-9C71-4A12-A778-EB2E4BA96BAA}"/>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4197" xr:uid="{2A76F5F4-EFC8-4E22-B34B-249F7678B2DB}"/>
    <cellStyle name="Normal 2 4 7 2 2 2 2 3" xfId="15756" xr:uid="{AC531B5D-B52C-4CED-A279-FAE1E1A10283}"/>
    <cellStyle name="Normal 2 4 7 2 2 2 3" xfId="19979" xr:uid="{064F72EA-5E4D-4DAE-955E-1966361C6552}"/>
    <cellStyle name="Normal 2 4 7 2 2 2 4" xfId="11537" xr:uid="{374DF0FA-9CBA-476F-B484-897BE97BF91A}"/>
    <cellStyle name="Normal 2 4 7 2 2 3" xfId="5117" xr:uid="{00000000-0005-0000-0000-0000DA100000}"/>
    <cellStyle name="Normal 2 4 7 2 2 3 2" xfId="22052" xr:uid="{0EF7613C-B78D-4FE0-A6E3-9A3D2B4795C0}"/>
    <cellStyle name="Normal 2 4 7 2 2 3 3" xfId="13611" xr:uid="{8CCB0B04-9AF6-4276-BBC0-EF86FCA6EE3D}"/>
    <cellStyle name="Normal 2 4 7 2 2 4" xfId="17834" xr:uid="{0293BE29-FBD9-47DF-8605-899C1A1A4E93}"/>
    <cellStyle name="Normal 2 4 7 2 2 5" xfId="9360" xr:uid="{CC23F31C-D6AE-4013-BD61-7889EDCA085C}"/>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4610" xr:uid="{A68A9317-742C-4FC1-8A1A-BF238F4A877A}"/>
    <cellStyle name="Normal 2 4 7 2 3 2 2 3" xfId="16169" xr:uid="{3771D0BD-586E-4663-BFCE-416C1A6EBBA5}"/>
    <cellStyle name="Normal 2 4 7 2 3 2 3" xfId="20392" xr:uid="{634C713F-6541-428F-8482-45DD6D50F022}"/>
    <cellStyle name="Normal 2 4 7 2 3 2 4" xfId="11950" xr:uid="{E6B78A7B-D024-4B93-A302-8C2AF4A13D67}"/>
    <cellStyle name="Normal 2 4 7 2 3 3" xfId="5530" xr:uid="{00000000-0005-0000-0000-0000DE100000}"/>
    <cellStyle name="Normal 2 4 7 2 3 3 2" xfId="22465" xr:uid="{302BF3D9-6D28-48FE-ACDE-7439C6F488CF}"/>
    <cellStyle name="Normal 2 4 7 2 3 3 3" xfId="14024" xr:uid="{380D7026-9743-4EB7-BAD9-406CD4C3B049}"/>
    <cellStyle name="Normal 2 4 7 2 3 4" xfId="18247" xr:uid="{7B2A6605-EFB1-435D-8BB7-0BB738F71940}"/>
    <cellStyle name="Normal 2 4 7 2 3 5" xfId="9773" xr:uid="{FCC2D404-1497-4001-95D5-5C9474084003}"/>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5023" xr:uid="{46F87E8D-616F-4729-A725-350475D5A46C}"/>
    <cellStyle name="Normal 2 4 7 2 4 2 2 3" xfId="16582" xr:uid="{C123CBD4-B679-4A6C-908F-5084AA3D7D66}"/>
    <cellStyle name="Normal 2 4 7 2 4 2 3" xfId="20805" xr:uid="{4BC83EAA-81AE-421D-9958-D688F0D14064}"/>
    <cellStyle name="Normal 2 4 7 2 4 2 4" xfId="12363" xr:uid="{1ABFE47B-785E-4ACB-B85D-CDE45B500FF2}"/>
    <cellStyle name="Normal 2 4 7 2 4 3" xfId="5943" xr:uid="{00000000-0005-0000-0000-0000E2100000}"/>
    <cellStyle name="Normal 2 4 7 2 4 3 2" xfId="22878" xr:uid="{F01A584C-2624-4D58-8041-37FE1E2E4DF7}"/>
    <cellStyle name="Normal 2 4 7 2 4 3 3" xfId="14437" xr:uid="{5C9B4C01-D77C-4378-A619-592815CEE303}"/>
    <cellStyle name="Normal 2 4 7 2 4 4" xfId="18660" xr:uid="{BDC7AF38-729E-4158-85DA-0588F993F680}"/>
    <cellStyle name="Normal 2 4 7 2 4 5" xfId="10186" xr:uid="{EF8FB283-B8F7-4A86-8F81-839144BCC2D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5436" xr:uid="{14836437-42D1-46DA-8C0F-00A5EA99766B}"/>
    <cellStyle name="Normal 2 4 7 2 5 2 2 3" xfId="16995" xr:uid="{D2563B9F-EB22-4BE2-ABD8-FE4EEA528476}"/>
    <cellStyle name="Normal 2 4 7 2 5 2 3" xfId="21218" xr:uid="{764F4D7B-2303-4484-A7FF-82A6A0F51F65}"/>
    <cellStyle name="Normal 2 4 7 2 5 2 4" xfId="12776" xr:uid="{A33E553B-9890-404F-8F69-ABE342FD38FF}"/>
    <cellStyle name="Normal 2 4 7 2 5 3" xfId="6356" xr:uid="{00000000-0005-0000-0000-0000E6100000}"/>
    <cellStyle name="Normal 2 4 7 2 5 3 2" xfId="23291" xr:uid="{438CC275-848F-4ABD-AD29-F0CFAC304235}"/>
    <cellStyle name="Normal 2 4 7 2 5 3 3" xfId="14850" xr:uid="{A36F4C6B-FF53-4711-9568-675BC911DA1E}"/>
    <cellStyle name="Normal 2 4 7 2 5 4" xfId="19073" xr:uid="{3C475B87-09C2-4566-A4F9-DB8490265150}"/>
    <cellStyle name="Normal 2 4 7 2 5 5" xfId="10599" xr:uid="{35840318-0902-4D5E-8105-7D311D7BDD29}"/>
    <cellStyle name="Normal 2 4 7 2 6" xfId="2486" xr:uid="{00000000-0005-0000-0000-0000E7100000}"/>
    <cellStyle name="Normal 2 4 7 2 6 2" xfId="6769" xr:uid="{00000000-0005-0000-0000-0000E8100000}"/>
    <cellStyle name="Normal 2 4 7 2 6 2 2" xfId="23704" xr:uid="{20B9A59F-E0AC-411A-B671-A393959AA82F}"/>
    <cellStyle name="Normal 2 4 7 2 6 2 3" xfId="15263" xr:uid="{4217E220-0B4E-424D-8114-BE9E69CDAE46}"/>
    <cellStyle name="Normal 2 4 7 2 6 3" xfId="19486" xr:uid="{8B5D1406-4E68-4665-B547-D4E1FFB0EB60}"/>
    <cellStyle name="Normal 2 4 7 2 6 4" xfId="11034" xr:uid="{D33E6268-B141-4E09-8CED-EE2E618B4F4A}"/>
    <cellStyle name="Normal 2 4 7 2 7" xfId="4703" xr:uid="{00000000-0005-0000-0000-0000E9100000}"/>
    <cellStyle name="Normal 2 4 7 2 7 2" xfId="21638" xr:uid="{349CBCBA-BD8D-4768-9CE1-6EBCAFCB4E03}"/>
    <cellStyle name="Normal 2 4 7 2 7 3" xfId="13197" xr:uid="{E508E70A-A7C0-4851-84CB-B83D150266AA}"/>
    <cellStyle name="Normal 2 4 7 2 8" xfId="17420" xr:uid="{B8F01E12-084D-48A3-BB1A-2E12469817A9}"/>
    <cellStyle name="Normal 2 4 7 2 9" xfId="8945" xr:uid="{09C2856F-A6F6-481D-B441-3F7FB0867DB1}"/>
    <cellStyle name="Normal 2 4 7 3" xfId="800" xr:uid="{00000000-0005-0000-0000-0000EA100000}"/>
    <cellStyle name="Normal 2 4 7 3 2" xfId="3039" xr:uid="{00000000-0005-0000-0000-0000EB100000}"/>
    <cellStyle name="Normal 2 4 7 3 2 2" xfId="7261" xr:uid="{00000000-0005-0000-0000-0000EC100000}"/>
    <cellStyle name="Normal 2 4 7 3 2 2 2" xfId="24196" xr:uid="{624A500B-8D72-4753-8E0C-3234409949B4}"/>
    <cellStyle name="Normal 2 4 7 3 2 2 3" xfId="15755" xr:uid="{DC20BB96-90DF-46FA-8C5B-465535E17844}"/>
    <cellStyle name="Normal 2 4 7 3 2 3" xfId="19978" xr:uid="{42918B21-6954-4D53-8D97-BE1BB8F08511}"/>
    <cellStyle name="Normal 2 4 7 3 2 4" xfId="11536" xr:uid="{7A3D16FF-3AD9-4BC9-8536-5B620849CD59}"/>
    <cellStyle name="Normal 2 4 7 3 3" xfId="5116" xr:uid="{00000000-0005-0000-0000-0000ED100000}"/>
    <cellStyle name="Normal 2 4 7 3 3 2" xfId="22051" xr:uid="{44BAC0BE-B0A9-4A17-AFE6-BA97E99C77A4}"/>
    <cellStyle name="Normal 2 4 7 3 3 3" xfId="13610" xr:uid="{7AA7B0A4-91F3-42E9-9D6B-46035F5B3C62}"/>
    <cellStyle name="Normal 2 4 7 3 4" xfId="17833" xr:uid="{C17031A2-1D1A-451F-8A6D-CC0180053DE7}"/>
    <cellStyle name="Normal 2 4 7 3 5" xfId="9359" xr:uid="{DF2F9703-8EC6-4C73-9C07-1560CC401362}"/>
    <cellStyle name="Normal 2 4 7 4" xfId="1222" xr:uid="{00000000-0005-0000-0000-0000EE100000}"/>
    <cellStyle name="Normal 2 4 7 4 2" xfId="3452" xr:uid="{00000000-0005-0000-0000-0000EF100000}"/>
    <cellStyle name="Normal 2 4 7 4 2 2" xfId="7674" xr:uid="{00000000-0005-0000-0000-0000F0100000}"/>
    <cellStyle name="Normal 2 4 7 4 2 2 2" xfId="24609" xr:uid="{03C11DC5-C694-4A1F-8EF3-C227DFC99734}"/>
    <cellStyle name="Normal 2 4 7 4 2 2 3" xfId="16168" xr:uid="{ADBEF47C-7210-42DB-AE92-02CBAC041E4D}"/>
    <cellStyle name="Normal 2 4 7 4 2 3" xfId="20391" xr:uid="{A5665C74-67DD-494D-B31A-54C30323F39A}"/>
    <cellStyle name="Normal 2 4 7 4 2 4" xfId="11949" xr:uid="{D99B8E9A-F65D-48A7-BB06-55A1D52B2A96}"/>
    <cellStyle name="Normal 2 4 7 4 3" xfId="5529" xr:uid="{00000000-0005-0000-0000-0000F1100000}"/>
    <cellStyle name="Normal 2 4 7 4 3 2" xfId="22464" xr:uid="{6D264584-BCEA-417C-B5AF-4298461FED2E}"/>
    <cellStyle name="Normal 2 4 7 4 3 3" xfId="14023" xr:uid="{F80C615C-6453-4BE0-99E8-E039D44F17A1}"/>
    <cellStyle name="Normal 2 4 7 4 4" xfId="18246" xr:uid="{B5F657F1-3C44-4FA3-8D0B-07FA2813793F}"/>
    <cellStyle name="Normal 2 4 7 4 5" xfId="9772" xr:uid="{D17A7256-EF67-4C96-895B-86F00F5262E6}"/>
    <cellStyle name="Normal 2 4 7 5" xfId="1635" xr:uid="{00000000-0005-0000-0000-0000F2100000}"/>
    <cellStyle name="Normal 2 4 7 5 2" xfId="3865" xr:uid="{00000000-0005-0000-0000-0000F3100000}"/>
    <cellStyle name="Normal 2 4 7 5 2 2" xfId="8087" xr:uid="{00000000-0005-0000-0000-0000F4100000}"/>
    <cellStyle name="Normal 2 4 7 5 2 2 2" xfId="25022" xr:uid="{BA19258E-69B6-4B3A-8EE8-EEFF40A1C317}"/>
    <cellStyle name="Normal 2 4 7 5 2 2 3" xfId="16581" xr:uid="{FD245E97-2DA5-4E83-8EBB-024A58C39FEF}"/>
    <cellStyle name="Normal 2 4 7 5 2 3" xfId="20804" xr:uid="{93608BBA-73A7-4F5D-91A9-7721DAA29892}"/>
    <cellStyle name="Normal 2 4 7 5 2 4" xfId="12362" xr:uid="{BB1F9781-305D-47B7-BF2D-D53B0B9F7630}"/>
    <cellStyle name="Normal 2 4 7 5 3" xfId="5942" xr:uid="{00000000-0005-0000-0000-0000F5100000}"/>
    <cellStyle name="Normal 2 4 7 5 3 2" xfId="22877" xr:uid="{5F04AE4A-FB60-478D-9E75-1BA44D1CD50F}"/>
    <cellStyle name="Normal 2 4 7 5 3 3" xfId="14436" xr:uid="{EA02233A-1ACC-4966-B44C-514B4D50FB6A}"/>
    <cellStyle name="Normal 2 4 7 5 4" xfId="18659" xr:uid="{0F3962FD-140B-4C32-BF12-A65666821744}"/>
    <cellStyle name="Normal 2 4 7 5 5" xfId="10185" xr:uid="{2C4BAFF6-4373-489F-8BD0-B7346A3A0082}"/>
    <cellStyle name="Normal 2 4 7 6" xfId="2049" xr:uid="{00000000-0005-0000-0000-0000F6100000}"/>
    <cellStyle name="Normal 2 4 7 6 2" xfId="4278" xr:uid="{00000000-0005-0000-0000-0000F7100000}"/>
    <cellStyle name="Normal 2 4 7 6 2 2" xfId="8500" xr:uid="{00000000-0005-0000-0000-0000F8100000}"/>
    <cellStyle name="Normal 2 4 7 6 2 2 2" xfId="25435" xr:uid="{62102FB5-1DA2-4351-969C-DA50851A37DD}"/>
    <cellStyle name="Normal 2 4 7 6 2 2 3" xfId="16994" xr:uid="{AE749F3A-AEE1-4C82-BF2E-5D0F8F65A094}"/>
    <cellStyle name="Normal 2 4 7 6 2 3" xfId="21217" xr:uid="{916B68C9-8816-4009-93CA-C80273777B7A}"/>
    <cellStyle name="Normal 2 4 7 6 2 4" xfId="12775" xr:uid="{DB324EBB-00A5-4516-AABB-E7DD6672497D}"/>
    <cellStyle name="Normal 2 4 7 6 3" xfId="6355" xr:uid="{00000000-0005-0000-0000-0000F9100000}"/>
    <cellStyle name="Normal 2 4 7 6 3 2" xfId="23290" xr:uid="{45563520-EF35-46E0-8E8F-286173CEFBF5}"/>
    <cellStyle name="Normal 2 4 7 6 3 3" xfId="14849" xr:uid="{971684CC-BA12-4403-879E-A493BFD4C31C}"/>
    <cellStyle name="Normal 2 4 7 6 4" xfId="19072" xr:uid="{AAEB583A-86B4-413E-87EA-829370CE01FB}"/>
    <cellStyle name="Normal 2 4 7 6 5" xfId="10598" xr:uid="{2138DD4D-BAC0-41CB-B1F7-B19215883F68}"/>
    <cellStyle name="Normal 2 4 7 7" xfId="2485" xr:uid="{00000000-0005-0000-0000-0000FA100000}"/>
    <cellStyle name="Normal 2 4 7 7 2" xfId="6768" xr:uid="{00000000-0005-0000-0000-0000FB100000}"/>
    <cellStyle name="Normal 2 4 7 7 2 2" xfId="23703" xr:uid="{12A61A01-72B9-40B1-866C-57B336E24447}"/>
    <cellStyle name="Normal 2 4 7 7 2 3" xfId="15262" xr:uid="{374C9596-4FF2-4F0D-BB34-48892F44F85E}"/>
    <cellStyle name="Normal 2 4 7 7 3" xfId="19485" xr:uid="{E9A11486-D269-4806-A2C1-61B6F5A3313F}"/>
    <cellStyle name="Normal 2 4 7 7 4" xfId="11033" xr:uid="{5445BBC9-ECE2-4C2E-A527-998471D21705}"/>
    <cellStyle name="Normal 2 4 7 8" xfId="4702" xr:uid="{00000000-0005-0000-0000-0000FC100000}"/>
    <cellStyle name="Normal 2 4 7 8 2" xfId="21637" xr:uid="{8F2F4806-3B3A-4433-8919-ED68503929E1}"/>
    <cellStyle name="Normal 2 4 7 8 3" xfId="13196" xr:uid="{27BCE6DE-89F0-4E52-B767-C5B8DC6C8617}"/>
    <cellStyle name="Normal 2 4 7 9" xfId="17419" xr:uid="{F337CCFE-4E44-4F97-8B3F-7FF9D85E2443}"/>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24198" xr:uid="{CBE8DF47-23C0-4C59-AB1C-BB352D39DD84}"/>
    <cellStyle name="Normal 2 4 8 2 2 2 3" xfId="15757" xr:uid="{7D6C1BAB-585A-4FD9-81F3-A135F8203A4A}"/>
    <cellStyle name="Normal 2 4 8 2 2 3" xfId="19980" xr:uid="{E57EE7BD-F8D1-46F4-999F-3718D43F3572}"/>
    <cellStyle name="Normal 2 4 8 2 2 4" xfId="11538" xr:uid="{F4988C20-E2CD-4094-885E-FAE6AEF7ACD5}"/>
    <cellStyle name="Normal 2 4 8 2 3" xfId="5118" xr:uid="{00000000-0005-0000-0000-000001110000}"/>
    <cellStyle name="Normal 2 4 8 2 3 2" xfId="22053" xr:uid="{A767674E-1FC4-4C93-8418-675F560E13E0}"/>
    <cellStyle name="Normal 2 4 8 2 3 3" xfId="13612" xr:uid="{C63D144C-B3C8-4D58-99D4-10E5DC7130E5}"/>
    <cellStyle name="Normal 2 4 8 2 4" xfId="17835" xr:uid="{A682B98E-EF9C-4535-9115-94CD248DCCB6}"/>
    <cellStyle name="Normal 2 4 8 2 5" xfId="9361" xr:uid="{77AABE82-B0EC-461B-AEF2-0322C252D53A}"/>
    <cellStyle name="Normal 2 4 8 3" xfId="1224" xr:uid="{00000000-0005-0000-0000-000002110000}"/>
    <cellStyle name="Normal 2 4 8 3 2" xfId="3454" xr:uid="{00000000-0005-0000-0000-000003110000}"/>
    <cellStyle name="Normal 2 4 8 3 2 2" xfId="7676" xr:uid="{00000000-0005-0000-0000-000004110000}"/>
    <cellStyle name="Normal 2 4 8 3 2 2 2" xfId="24611" xr:uid="{61A041A7-B6D4-4F31-945D-F7FF6C9EF55E}"/>
    <cellStyle name="Normal 2 4 8 3 2 2 3" xfId="16170" xr:uid="{1EC5426A-9274-4661-8042-68A7A43CCDF3}"/>
    <cellStyle name="Normal 2 4 8 3 2 3" xfId="20393" xr:uid="{CC1F500B-CD88-4B6E-ABBB-55ABAAC3A5A5}"/>
    <cellStyle name="Normal 2 4 8 3 2 4" xfId="11951" xr:uid="{6B3136C0-A171-4BEB-B682-E7632848A675}"/>
    <cellStyle name="Normal 2 4 8 3 3" xfId="5531" xr:uid="{00000000-0005-0000-0000-000005110000}"/>
    <cellStyle name="Normal 2 4 8 3 3 2" xfId="22466" xr:uid="{B5443262-B870-4934-B54A-CA4B0C15403F}"/>
    <cellStyle name="Normal 2 4 8 3 3 3" xfId="14025" xr:uid="{C048FA66-5887-4FD4-89EC-CBE0B1EE62FC}"/>
    <cellStyle name="Normal 2 4 8 3 4" xfId="18248" xr:uid="{2262D0D2-39AD-4EEC-BD17-081C77110F0C}"/>
    <cellStyle name="Normal 2 4 8 3 5" xfId="9774" xr:uid="{9F40AA2A-7F59-4961-99CF-B08D77525A1C}"/>
    <cellStyle name="Normal 2 4 8 4" xfId="1637" xr:uid="{00000000-0005-0000-0000-000006110000}"/>
    <cellStyle name="Normal 2 4 8 4 2" xfId="3867" xr:uid="{00000000-0005-0000-0000-000007110000}"/>
    <cellStyle name="Normal 2 4 8 4 2 2" xfId="8089" xr:uid="{00000000-0005-0000-0000-000008110000}"/>
    <cellStyle name="Normal 2 4 8 4 2 2 2" xfId="25024" xr:uid="{A3F3A683-18DA-47E7-ABB4-2A3E0CF7F65B}"/>
    <cellStyle name="Normal 2 4 8 4 2 2 3" xfId="16583" xr:uid="{DF5F45A9-721C-40C2-B6D3-3283502E2FCC}"/>
    <cellStyle name="Normal 2 4 8 4 2 3" xfId="20806" xr:uid="{5AACD80B-5949-4BE1-BC5E-D966D08EA204}"/>
    <cellStyle name="Normal 2 4 8 4 2 4" xfId="12364" xr:uid="{231214DD-B42B-489E-B404-510FB436EFE7}"/>
    <cellStyle name="Normal 2 4 8 4 3" xfId="5944" xr:uid="{00000000-0005-0000-0000-000009110000}"/>
    <cellStyle name="Normal 2 4 8 4 3 2" xfId="22879" xr:uid="{BC378D3B-A214-4501-B1A2-764E0E744DB0}"/>
    <cellStyle name="Normal 2 4 8 4 3 3" xfId="14438" xr:uid="{BDFF232C-8742-4B7F-9B83-3687214E8FB2}"/>
    <cellStyle name="Normal 2 4 8 4 4" xfId="18661" xr:uid="{A8DC0AFF-2765-4425-86C9-F014AB4F6B25}"/>
    <cellStyle name="Normal 2 4 8 4 5" xfId="10187" xr:uid="{771F0321-B449-467D-8165-36C121DBED2B}"/>
    <cellStyle name="Normal 2 4 8 5" xfId="2051" xr:uid="{00000000-0005-0000-0000-00000A110000}"/>
    <cellStyle name="Normal 2 4 8 5 2" xfId="4280" xr:uid="{00000000-0005-0000-0000-00000B110000}"/>
    <cellStyle name="Normal 2 4 8 5 2 2" xfId="8502" xr:uid="{00000000-0005-0000-0000-00000C110000}"/>
    <cellStyle name="Normal 2 4 8 5 2 2 2" xfId="25437" xr:uid="{6565F67B-37B0-4A6D-86CB-48213CFD0383}"/>
    <cellStyle name="Normal 2 4 8 5 2 2 3" xfId="16996" xr:uid="{4600282E-B373-4A05-8166-81F418B761F4}"/>
    <cellStyle name="Normal 2 4 8 5 2 3" xfId="21219" xr:uid="{D62AE890-A3F9-4144-8FFE-97013ADC7B3F}"/>
    <cellStyle name="Normal 2 4 8 5 2 4" xfId="12777" xr:uid="{D4EC37D5-A92B-4A10-AAD2-2B3D2EA756C8}"/>
    <cellStyle name="Normal 2 4 8 5 3" xfId="6357" xr:uid="{00000000-0005-0000-0000-00000D110000}"/>
    <cellStyle name="Normal 2 4 8 5 3 2" xfId="23292" xr:uid="{E0938A1B-95CE-4AF4-A54E-430DE1386B85}"/>
    <cellStyle name="Normal 2 4 8 5 3 3" xfId="14851" xr:uid="{E3CF6C92-5353-4DD7-93C3-FF54E94849ED}"/>
    <cellStyle name="Normal 2 4 8 5 4" xfId="19074" xr:uid="{99696900-6CB4-4F72-94F6-2FCB09714EB7}"/>
    <cellStyle name="Normal 2 4 8 5 5" xfId="10600" xr:uid="{FCBD5678-3DCB-490B-8B13-453CBA54A25F}"/>
    <cellStyle name="Normal 2 4 8 6" xfId="2487" xr:uid="{00000000-0005-0000-0000-00000E110000}"/>
    <cellStyle name="Normal 2 4 8 6 2" xfId="6770" xr:uid="{00000000-0005-0000-0000-00000F110000}"/>
    <cellStyle name="Normal 2 4 8 6 2 2" xfId="23705" xr:uid="{685A0FA5-8CDA-4E48-A280-361B48A92890}"/>
    <cellStyle name="Normal 2 4 8 6 2 3" xfId="15264" xr:uid="{B8D1F2D4-91D3-4962-924B-AD3C01E52427}"/>
    <cellStyle name="Normal 2 4 8 6 3" xfId="19487" xr:uid="{34F21367-845F-429F-826C-1A7233439D2C}"/>
    <cellStyle name="Normal 2 4 8 6 4" xfId="11035" xr:uid="{B4BFB88E-A3A7-43B9-93C3-2D82CD66FA6F}"/>
    <cellStyle name="Normal 2 4 8 7" xfId="4704" xr:uid="{00000000-0005-0000-0000-000010110000}"/>
    <cellStyle name="Normal 2 4 8 7 2" xfId="21639" xr:uid="{E18FA6CF-7707-44CC-AD13-15A81AE6D62F}"/>
    <cellStyle name="Normal 2 4 8 7 3" xfId="13198" xr:uid="{B38C236A-7DE3-4C2C-BBD0-9FA351A837E3}"/>
    <cellStyle name="Normal 2 4 8 8" xfId="17421" xr:uid="{9A1B0934-C249-4BD5-BEB0-5CBD122036D0}"/>
    <cellStyle name="Normal 2 4 8 9" xfId="8946" xr:uid="{5F8FDC47-2ED5-4ECF-BFCE-E183EC9D8FA7}"/>
    <cellStyle name="Normal 2 5" xfId="315" xr:uid="{00000000-0005-0000-0000-000011110000}"/>
    <cellStyle name="Normal 2 5 10" xfId="4705" xr:uid="{00000000-0005-0000-0000-000012110000}"/>
    <cellStyle name="Normal 2 5 10 2" xfId="21640" xr:uid="{925F0DD2-CB02-4639-A24C-7F859FB73463}"/>
    <cellStyle name="Normal 2 5 10 3" xfId="13199" xr:uid="{96BD71C3-D20B-4B11-8B63-132AC95198C0}"/>
    <cellStyle name="Normal 2 5 11" xfId="17422" xr:uid="{C20E7E9E-31A5-41C2-B1D2-729B72093A97}"/>
    <cellStyle name="Normal 2 5 12" xfId="8947" xr:uid="{FD39A187-0ABA-4B26-9C22-E889B2B1D1E6}"/>
    <cellStyle name="Normal 2 5 2" xfId="316" xr:uid="{00000000-0005-0000-0000-000013110000}"/>
    <cellStyle name="Normal 2 5 3" xfId="317" xr:uid="{00000000-0005-0000-0000-000014110000}"/>
    <cellStyle name="Normal 2 5 4" xfId="318" xr:uid="{00000000-0005-0000-0000-000015110000}"/>
    <cellStyle name="Normal 2 5 4 10" xfId="17423" xr:uid="{D1A84259-9577-4368-8759-D2FA4E13BF50}"/>
    <cellStyle name="Normal 2 5 4 11" xfId="8948" xr:uid="{1107141D-5B8E-4EAA-8FD5-9A2469F948AA}"/>
    <cellStyle name="Normal 2 5 4 2" xfId="319" xr:uid="{00000000-0005-0000-0000-000016110000}"/>
    <cellStyle name="Normal 2 5 4 2 10" xfId="8949" xr:uid="{729E5A7B-5B9C-4312-8B06-58A1833890ED}"/>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4202" xr:uid="{474F413B-5043-4994-8F2C-4A359B142A06}"/>
    <cellStyle name="Normal 2 5 4 2 2 2 2 2 3" xfId="15761" xr:uid="{E112CDBA-E5A2-4A7A-BDC3-301F1BED0230}"/>
    <cellStyle name="Normal 2 5 4 2 2 2 2 3" xfId="19984" xr:uid="{EB418BA0-BE72-493B-A437-7168AF1365B7}"/>
    <cellStyle name="Normal 2 5 4 2 2 2 2 4" xfId="11542" xr:uid="{2899AAC4-5C91-4FED-9DFF-5A3323A881A2}"/>
    <cellStyle name="Normal 2 5 4 2 2 2 3" xfId="5122" xr:uid="{00000000-0005-0000-0000-00001B110000}"/>
    <cellStyle name="Normal 2 5 4 2 2 2 3 2" xfId="22057" xr:uid="{F5E17006-BFDA-4EC1-8803-19793B838E40}"/>
    <cellStyle name="Normal 2 5 4 2 2 2 3 3" xfId="13616" xr:uid="{24E6185F-0D6F-4184-A1EB-D4D1DBE765C3}"/>
    <cellStyle name="Normal 2 5 4 2 2 2 4" xfId="17839" xr:uid="{13A519D7-0DA6-46C8-9558-792F936E886F}"/>
    <cellStyle name="Normal 2 5 4 2 2 2 5" xfId="9365" xr:uid="{91523D63-0086-4002-B23D-F55E09D214A1}"/>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4615" xr:uid="{C96FE831-8868-46B4-BC2B-D31C162DF16F}"/>
    <cellStyle name="Normal 2 5 4 2 2 3 2 2 3" xfId="16174" xr:uid="{E1593C45-0158-4CFC-995E-FE9F0ECECB87}"/>
    <cellStyle name="Normal 2 5 4 2 2 3 2 3" xfId="20397" xr:uid="{2E4BE41C-3509-4F7C-80F8-4286E339D1C1}"/>
    <cellStyle name="Normal 2 5 4 2 2 3 2 4" xfId="11955" xr:uid="{42D2E6F3-C074-4088-B400-284091FF1FC7}"/>
    <cellStyle name="Normal 2 5 4 2 2 3 3" xfId="5535" xr:uid="{00000000-0005-0000-0000-00001F110000}"/>
    <cellStyle name="Normal 2 5 4 2 2 3 3 2" xfId="22470" xr:uid="{7E139176-0E03-48AF-AF90-D36E39B018D5}"/>
    <cellStyle name="Normal 2 5 4 2 2 3 3 3" xfId="14029" xr:uid="{2003087E-2D53-4EF0-A833-2BD463F87322}"/>
    <cellStyle name="Normal 2 5 4 2 2 3 4" xfId="18252" xr:uid="{2E7FEFA7-0B93-4768-B889-AAEA5C048859}"/>
    <cellStyle name="Normal 2 5 4 2 2 3 5" xfId="9778" xr:uid="{1FBE8123-0CB6-49C6-87D8-D75A8BEC8B1F}"/>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5028" xr:uid="{2B029F10-737C-431C-8C22-2165B032AEEC}"/>
    <cellStyle name="Normal 2 5 4 2 2 4 2 2 3" xfId="16587" xr:uid="{A3B9CA03-3D17-492A-BB1F-05F9404E65BE}"/>
    <cellStyle name="Normal 2 5 4 2 2 4 2 3" xfId="20810" xr:uid="{78CCE6C1-B3FA-4D59-8D25-7B9C5885D870}"/>
    <cellStyle name="Normal 2 5 4 2 2 4 2 4" xfId="12368" xr:uid="{3B8F368D-4778-4462-9463-541AF7A5204C}"/>
    <cellStyle name="Normal 2 5 4 2 2 4 3" xfId="5948" xr:uid="{00000000-0005-0000-0000-000023110000}"/>
    <cellStyle name="Normal 2 5 4 2 2 4 3 2" xfId="22883" xr:uid="{7A9802AB-355E-40CE-9FFC-6DF4C7C64453}"/>
    <cellStyle name="Normal 2 5 4 2 2 4 3 3" xfId="14442" xr:uid="{B58D6CEA-8CC6-4039-8FC8-745D34DCE418}"/>
    <cellStyle name="Normal 2 5 4 2 2 4 4" xfId="18665" xr:uid="{2CA7F460-5604-4212-945F-2D74C9E74541}"/>
    <cellStyle name="Normal 2 5 4 2 2 4 5" xfId="10191" xr:uid="{72066D37-BB1F-43F1-98BF-BC1A4BE73D14}"/>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5441" xr:uid="{427077CF-1146-4A3B-83BE-2777A009673B}"/>
    <cellStyle name="Normal 2 5 4 2 2 5 2 2 3" xfId="17000" xr:uid="{4FC84181-51BC-4E14-9AC1-1609F3F5138D}"/>
    <cellStyle name="Normal 2 5 4 2 2 5 2 3" xfId="21223" xr:uid="{03A15827-DA19-4A19-B57E-DAA1A8EFCA74}"/>
    <cellStyle name="Normal 2 5 4 2 2 5 2 4" xfId="12781" xr:uid="{C9A76F6D-7111-4FF9-B1EC-2779DB187222}"/>
    <cellStyle name="Normal 2 5 4 2 2 5 3" xfId="6361" xr:uid="{00000000-0005-0000-0000-000027110000}"/>
    <cellStyle name="Normal 2 5 4 2 2 5 3 2" xfId="23296" xr:uid="{DB27DECB-08D5-4702-910A-1B5296D4112B}"/>
    <cellStyle name="Normal 2 5 4 2 2 5 3 3" xfId="14855" xr:uid="{09139E60-A34A-4AE7-91DD-023CDEF10C64}"/>
    <cellStyle name="Normal 2 5 4 2 2 5 4" xfId="19078" xr:uid="{C2F8D2F9-0CC4-450A-8284-4AFB424D5578}"/>
    <cellStyle name="Normal 2 5 4 2 2 5 5" xfId="10604" xr:uid="{BF87A38D-4B1D-4FB7-B4BF-9856B10ED764}"/>
    <cellStyle name="Normal 2 5 4 2 2 6" xfId="2491" xr:uid="{00000000-0005-0000-0000-000028110000}"/>
    <cellStyle name="Normal 2 5 4 2 2 6 2" xfId="6774" xr:uid="{00000000-0005-0000-0000-000029110000}"/>
    <cellStyle name="Normal 2 5 4 2 2 6 2 2" xfId="23709" xr:uid="{340F47C7-AFDE-4978-AFA5-4EB7157274B1}"/>
    <cellStyle name="Normal 2 5 4 2 2 6 2 3" xfId="15268" xr:uid="{35829AB4-90E8-4E8E-8A02-205E14851C21}"/>
    <cellStyle name="Normal 2 5 4 2 2 6 3" xfId="19491" xr:uid="{51B437C4-13FF-4731-BF51-1D88D51C22AC}"/>
    <cellStyle name="Normal 2 5 4 2 2 6 4" xfId="11039" xr:uid="{72EFFD4C-7050-4C42-9DCE-51CB3055900F}"/>
    <cellStyle name="Normal 2 5 4 2 2 7" xfId="4708" xr:uid="{00000000-0005-0000-0000-00002A110000}"/>
    <cellStyle name="Normal 2 5 4 2 2 7 2" xfId="21643" xr:uid="{8CD4531E-A598-4D3D-9F99-A8D85D47C35D}"/>
    <cellStyle name="Normal 2 5 4 2 2 7 3" xfId="13202" xr:uid="{FAB66BBC-AB7A-4EC0-ABB3-32C41022B0E0}"/>
    <cellStyle name="Normal 2 5 4 2 2 8" xfId="17425" xr:uid="{7BB0BCCB-084D-4BAE-8ABD-277DEDBCB37A}"/>
    <cellStyle name="Normal 2 5 4 2 2 9" xfId="8950" xr:uid="{F4567CB4-1DBC-46E7-B6F9-2D79E19FC840}"/>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4201" xr:uid="{3745E511-FFE5-4055-AE8C-E850EFF3AC63}"/>
    <cellStyle name="Normal 2 5 4 2 3 2 2 3" xfId="15760" xr:uid="{9B7034A0-7D8F-46AC-AB77-56586879D49E}"/>
    <cellStyle name="Normal 2 5 4 2 3 2 3" xfId="19983" xr:uid="{9C15FDDE-B0AF-404D-9F08-3B4C8EB23F88}"/>
    <cellStyle name="Normal 2 5 4 2 3 2 4" xfId="11541" xr:uid="{84BF57B3-E182-4A00-8BA1-5F8514871998}"/>
    <cellStyle name="Normal 2 5 4 2 3 3" xfId="5121" xr:uid="{00000000-0005-0000-0000-00002E110000}"/>
    <cellStyle name="Normal 2 5 4 2 3 3 2" xfId="22056" xr:uid="{B557800B-D60A-4BD3-BBED-14FAF79F37F1}"/>
    <cellStyle name="Normal 2 5 4 2 3 3 3" xfId="13615" xr:uid="{E18F6042-80F0-48EB-9D04-52BFCF715E11}"/>
    <cellStyle name="Normal 2 5 4 2 3 4" xfId="17838" xr:uid="{397C865A-9E29-43C7-A52C-CB112BF4C0BD}"/>
    <cellStyle name="Normal 2 5 4 2 3 5" xfId="9364" xr:uid="{04845449-7EA1-4C94-8C0C-9D37E1CD0DE6}"/>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4614" xr:uid="{D95C5697-7FED-455A-A116-3FBE3DA5DD8F}"/>
    <cellStyle name="Normal 2 5 4 2 4 2 2 3" xfId="16173" xr:uid="{2BE068A0-C4C7-440F-BF6C-4291710C679A}"/>
    <cellStyle name="Normal 2 5 4 2 4 2 3" xfId="20396" xr:uid="{C209093F-12B9-4CF2-BCF3-0E70C54162E8}"/>
    <cellStyle name="Normal 2 5 4 2 4 2 4" xfId="11954" xr:uid="{449AC783-2DC5-484A-B160-19A59C9A03F7}"/>
    <cellStyle name="Normal 2 5 4 2 4 3" xfId="5534" xr:uid="{00000000-0005-0000-0000-000032110000}"/>
    <cellStyle name="Normal 2 5 4 2 4 3 2" xfId="22469" xr:uid="{F862C26A-0F21-421C-8EFD-2214F7F34187}"/>
    <cellStyle name="Normal 2 5 4 2 4 3 3" xfId="14028" xr:uid="{27F41326-CF5E-4C3C-983E-B8DDCA9F8CC1}"/>
    <cellStyle name="Normal 2 5 4 2 4 4" xfId="18251" xr:uid="{2E506984-C517-4B7A-813E-E3247332515D}"/>
    <cellStyle name="Normal 2 5 4 2 4 5" xfId="9777" xr:uid="{DE90E76B-F2C5-4243-916F-8932528FFC0E}"/>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5027" xr:uid="{CE6B4F2B-92B1-4F9B-9C00-A4777BB910B2}"/>
    <cellStyle name="Normal 2 5 4 2 5 2 2 3" xfId="16586" xr:uid="{7197BA80-EEFC-43E5-B23A-7764E062E7A7}"/>
    <cellStyle name="Normal 2 5 4 2 5 2 3" xfId="20809" xr:uid="{598D2EEF-DC46-46A3-BC50-4F1B5B116472}"/>
    <cellStyle name="Normal 2 5 4 2 5 2 4" xfId="12367" xr:uid="{807AC271-CD8E-4C8F-A873-DAC3BE52CCD1}"/>
    <cellStyle name="Normal 2 5 4 2 5 3" xfId="5947" xr:uid="{00000000-0005-0000-0000-000036110000}"/>
    <cellStyle name="Normal 2 5 4 2 5 3 2" xfId="22882" xr:uid="{171F6827-4DF2-44FD-A724-F3D32C168F6F}"/>
    <cellStyle name="Normal 2 5 4 2 5 3 3" xfId="14441" xr:uid="{D310BC82-664A-4736-BBC2-3CCA694DEBE9}"/>
    <cellStyle name="Normal 2 5 4 2 5 4" xfId="18664" xr:uid="{01A3CD71-9E8E-4855-8C6D-2A66E5A998E5}"/>
    <cellStyle name="Normal 2 5 4 2 5 5" xfId="10190" xr:uid="{9702F236-8D49-4D71-AEAF-65F3AC382169}"/>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5440" xr:uid="{1C1E0D98-4CA5-457E-86B0-52B55A61441C}"/>
    <cellStyle name="Normal 2 5 4 2 6 2 2 3" xfId="16999" xr:uid="{FB3656C3-9937-4CEE-8F8B-6D02C1D26CB1}"/>
    <cellStyle name="Normal 2 5 4 2 6 2 3" xfId="21222" xr:uid="{98FFBBC1-5943-417F-B0EB-B7B0336E6D0A}"/>
    <cellStyle name="Normal 2 5 4 2 6 2 4" xfId="12780" xr:uid="{E4B50D02-D2A1-4423-943C-8EB04738B9CB}"/>
    <cellStyle name="Normal 2 5 4 2 6 3" xfId="6360" xr:uid="{00000000-0005-0000-0000-00003A110000}"/>
    <cellStyle name="Normal 2 5 4 2 6 3 2" xfId="23295" xr:uid="{026DE22C-DED2-42E5-9E7E-A592C62807D2}"/>
    <cellStyle name="Normal 2 5 4 2 6 3 3" xfId="14854" xr:uid="{4CDA19DD-F822-40A7-8EF3-5B7CEE17F7CF}"/>
    <cellStyle name="Normal 2 5 4 2 6 4" xfId="19077" xr:uid="{792EBFBE-F798-468B-92AC-B2A651653B3A}"/>
    <cellStyle name="Normal 2 5 4 2 6 5" xfId="10603" xr:uid="{B928F31A-AE87-4669-A501-BA578B87C55D}"/>
    <cellStyle name="Normal 2 5 4 2 7" xfId="2490" xr:uid="{00000000-0005-0000-0000-00003B110000}"/>
    <cellStyle name="Normal 2 5 4 2 7 2" xfId="6773" xr:uid="{00000000-0005-0000-0000-00003C110000}"/>
    <cellStyle name="Normal 2 5 4 2 7 2 2" xfId="23708" xr:uid="{DC34B4CB-524E-412A-BBC0-E79777AD95E6}"/>
    <cellStyle name="Normal 2 5 4 2 7 2 3" xfId="15267" xr:uid="{C6C383D6-3219-4514-BF34-511FA843AE17}"/>
    <cellStyle name="Normal 2 5 4 2 7 3" xfId="19490" xr:uid="{23AAD183-2469-4BB2-AE74-916F25D8B631}"/>
    <cellStyle name="Normal 2 5 4 2 7 4" xfId="11038" xr:uid="{65CF2807-62F2-47C1-818F-1C0844FE02D6}"/>
    <cellStyle name="Normal 2 5 4 2 8" xfId="4707" xr:uid="{00000000-0005-0000-0000-00003D110000}"/>
    <cellStyle name="Normal 2 5 4 2 8 2" xfId="21642" xr:uid="{7B4B3EBF-9A25-4638-86D6-ECE29EEF7C16}"/>
    <cellStyle name="Normal 2 5 4 2 8 3" xfId="13201" xr:uid="{C90155DD-0A0A-422F-BF85-DA27F3349B54}"/>
    <cellStyle name="Normal 2 5 4 2 9" xfId="17424" xr:uid="{253285D0-72E5-40F2-9771-FC77105F5D36}"/>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4203" xr:uid="{0E3EF3C3-4990-44D9-875F-3D219AA1D18E}"/>
    <cellStyle name="Normal 2 5 4 3 2 2 2 3" xfId="15762" xr:uid="{D5C1BA05-C533-4CBB-80CA-D86F3C0CE317}"/>
    <cellStyle name="Normal 2 5 4 3 2 2 3" xfId="19985" xr:uid="{5B64CA93-1919-4675-8BFD-C40200BF5B30}"/>
    <cellStyle name="Normal 2 5 4 3 2 2 4" xfId="11543" xr:uid="{4FF6B994-3C48-4D78-95EC-948F84B667B7}"/>
    <cellStyle name="Normal 2 5 4 3 2 3" xfId="5123" xr:uid="{00000000-0005-0000-0000-000042110000}"/>
    <cellStyle name="Normal 2 5 4 3 2 3 2" xfId="22058" xr:uid="{098D2AE5-F60A-415A-B81C-10F082C37CF0}"/>
    <cellStyle name="Normal 2 5 4 3 2 3 3" xfId="13617" xr:uid="{F540B44B-F46E-4D19-BD65-7FB6C59EFACE}"/>
    <cellStyle name="Normal 2 5 4 3 2 4" xfId="17840" xr:uid="{6290786A-FF23-4A2C-834F-F536B2E29D9B}"/>
    <cellStyle name="Normal 2 5 4 3 2 5" xfId="9366" xr:uid="{333A3483-16C9-4A62-BBFB-A3D3E204665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4616" xr:uid="{D90C9DE7-7248-46DD-9350-E6EC51EEE18C}"/>
    <cellStyle name="Normal 2 5 4 3 3 2 2 3" xfId="16175" xr:uid="{99CF5634-0A5B-4B72-9553-290365B18031}"/>
    <cellStyle name="Normal 2 5 4 3 3 2 3" xfId="20398" xr:uid="{DB0FE080-FFC6-4139-BD1A-F6DFF674B516}"/>
    <cellStyle name="Normal 2 5 4 3 3 2 4" xfId="11956" xr:uid="{5545486F-8616-4897-99F6-3A2D81248E18}"/>
    <cellStyle name="Normal 2 5 4 3 3 3" xfId="5536" xr:uid="{00000000-0005-0000-0000-000046110000}"/>
    <cellStyle name="Normal 2 5 4 3 3 3 2" xfId="22471" xr:uid="{6A21795C-9AA8-48B8-974E-65797EF02388}"/>
    <cellStyle name="Normal 2 5 4 3 3 3 3" xfId="14030" xr:uid="{0CDA4217-87E1-4BEC-85CF-CDA790C7E4BD}"/>
    <cellStyle name="Normal 2 5 4 3 3 4" xfId="18253" xr:uid="{C12A9C88-87E5-4454-8699-22FB0DDFB6D1}"/>
    <cellStyle name="Normal 2 5 4 3 3 5" xfId="9779" xr:uid="{42919FDD-C91C-4F69-A42C-A96D22C5AB64}"/>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5029" xr:uid="{C8FD019E-8D1D-4E75-B289-A45C859AC2BB}"/>
    <cellStyle name="Normal 2 5 4 3 4 2 2 3" xfId="16588" xr:uid="{75B246D7-0A5B-4619-81AE-27C4E2F5B62C}"/>
    <cellStyle name="Normal 2 5 4 3 4 2 3" xfId="20811" xr:uid="{E5E2478A-A281-474A-B48B-C4BE4842C1C8}"/>
    <cellStyle name="Normal 2 5 4 3 4 2 4" xfId="12369" xr:uid="{ACC48D55-F3D9-4E39-8C0C-787BB05A2AF2}"/>
    <cellStyle name="Normal 2 5 4 3 4 3" xfId="5949" xr:uid="{00000000-0005-0000-0000-00004A110000}"/>
    <cellStyle name="Normal 2 5 4 3 4 3 2" xfId="22884" xr:uid="{54701063-A18E-4CFF-8B3F-451146B4741A}"/>
    <cellStyle name="Normal 2 5 4 3 4 3 3" xfId="14443" xr:uid="{6A2EA508-8303-4E25-A864-618293CBFB5A}"/>
    <cellStyle name="Normal 2 5 4 3 4 4" xfId="18666" xr:uid="{C5732FCC-756A-4905-94DA-47700D998138}"/>
    <cellStyle name="Normal 2 5 4 3 4 5" xfId="10192" xr:uid="{9E5888EE-A703-4262-9B89-BF4855542666}"/>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5442" xr:uid="{F4E7EB1D-D311-466F-AA1C-D992463A9D43}"/>
    <cellStyle name="Normal 2 5 4 3 5 2 2 3" xfId="17001" xr:uid="{572A03E4-EC6E-42A8-BDEE-AEF5240B32D0}"/>
    <cellStyle name="Normal 2 5 4 3 5 2 3" xfId="21224" xr:uid="{6536136B-88FE-4579-8E56-4EF149EC9DAA}"/>
    <cellStyle name="Normal 2 5 4 3 5 2 4" xfId="12782" xr:uid="{13DAAAC1-9332-4952-85E5-07C119D7812F}"/>
    <cellStyle name="Normal 2 5 4 3 5 3" xfId="6362" xr:uid="{00000000-0005-0000-0000-00004E110000}"/>
    <cellStyle name="Normal 2 5 4 3 5 3 2" xfId="23297" xr:uid="{57E7BFF6-EDD5-4CC2-AFEB-B3F3390DD4D1}"/>
    <cellStyle name="Normal 2 5 4 3 5 3 3" xfId="14856" xr:uid="{1AE87D31-A1CD-4BF7-A3E7-F4EA9B9F9C40}"/>
    <cellStyle name="Normal 2 5 4 3 5 4" xfId="19079" xr:uid="{0B34D3E1-834A-4DCB-AE62-CC31780AD366}"/>
    <cellStyle name="Normal 2 5 4 3 5 5" xfId="10605" xr:uid="{8728F495-205C-47BB-A6EA-71933440F177}"/>
    <cellStyle name="Normal 2 5 4 3 6" xfId="2492" xr:uid="{00000000-0005-0000-0000-00004F110000}"/>
    <cellStyle name="Normal 2 5 4 3 6 2" xfId="6775" xr:uid="{00000000-0005-0000-0000-000050110000}"/>
    <cellStyle name="Normal 2 5 4 3 6 2 2" xfId="23710" xr:uid="{D26FA1AE-3D24-4516-AF65-28305EC590A3}"/>
    <cellStyle name="Normal 2 5 4 3 6 2 3" xfId="15269" xr:uid="{3993E879-25AB-4348-9D9E-A7C4E5A756C2}"/>
    <cellStyle name="Normal 2 5 4 3 6 3" xfId="19492" xr:uid="{23AB801A-C709-4AAA-BE8A-C91E8704B574}"/>
    <cellStyle name="Normal 2 5 4 3 6 4" xfId="11040" xr:uid="{0E5625CB-83A1-469B-9F2A-83A774B7A509}"/>
    <cellStyle name="Normal 2 5 4 3 7" xfId="4709" xr:uid="{00000000-0005-0000-0000-000051110000}"/>
    <cellStyle name="Normal 2 5 4 3 7 2" xfId="21644" xr:uid="{82C202A2-7DA7-4206-A90B-8587A762056A}"/>
    <cellStyle name="Normal 2 5 4 3 7 3" xfId="13203" xr:uid="{2FBD438C-F59D-4F13-AB1E-296B4DD9C240}"/>
    <cellStyle name="Normal 2 5 4 3 8" xfId="17426" xr:uid="{EC5CBFBB-6D40-4A4F-98E3-EBCFCF46EB6F}"/>
    <cellStyle name="Normal 2 5 4 3 9" xfId="8951" xr:uid="{13C1E11F-2628-46EE-A7B4-39CC4726D735}"/>
    <cellStyle name="Normal 2 5 4 4" xfId="804" xr:uid="{00000000-0005-0000-0000-000052110000}"/>
    <cellStyle name="Normal 2 5 4 4 2" xfId="3043" xr:uid="{00000000-0005-0000-0000-000053110000}"/>
    <cellStyle name="Normal 2 5 4 4 2 2" xfId="7265" xr:uid="{00000000-0005-0000-0000-000054110000}"/>
    <cellStyle name="Normal 2 5 4 4 2 2 2" xfId="24200" xr:uid="{5C4F5458-0ECE-43C4-90B4-6DEC7DFADE02}"/>
    <cellStyle name="Normal 2 5 4 4 2 2 3" xfId="15759" xr:uid="{AF7821B1-5522-416F-AE76-BB037CE2A9F5}"/>
    <cellStyle name="Normal 2 5 4 4 2 3" xfId="19982" xr:uid="{C9434D12-F58D-4576-99C5-8E699A019380}"/>
    <cellStyle name="Normal 2 5 4 4 2 4" xfId="11540" xr:uid="{B15338C6-198B-4A67-B5F9-D5D04E5B354D}"/>
    <cellStyle name="Normal 2 5 4 4 3" xfId="5120" xr:uid="{00000000-0005-0000-0000-000055110000}"/>
    <cellStyle name="Normal 2 5 4 4 3 2" xfId="22055" xr:uid="{B7E82D21-997C-4A08-BCC3-AC0F7DE0FAC7}"/>
    <cellStyle name="Normal 2 5 4 4 3 3" xfId="13614" xr:uid="{11F5109A-1ADF-42DA-9667-C9EEEF45E269}"/>
    <cellStyle name="Normal 2 5 4 4 4" xfId="17837" xr:uid="{BD4AD0A4-19C4-4E67-9939-289533F9DD61}"/>
    <cellStyle name="Normal 2 5 4 4 5" xfId="9363" xr:uid="{AC3FA355-FFAA-4655-8BDB-A0C4B000B5AA}"/>
    <cellStyle name="Normal 2 5 4 5" xfId="1226" xr:uid="{00000000-0005-0000-0000-000056110000}"/>
    <cellStyle name="Normal 2 5 4 5 2" xfId="3456" xr:uid="{00000000-0005-0000-0000-000057110000}"/>
    <cellStyle name="Normal 2 5 4 5 2 2" xfId="7678" xr:uid="{00000000-0005-0000-0000-000058110000}"/>
    <cellStyle name="Normal 2 5 4 5 2 2 2" xfId="24613" xr:uid="{17E0D7AA-B0EE-4818-B5D1-A75337BF0E2E}"/>
    <cellStyle name="Normal 2 5 4 5 2 2 3" xfId="16172" xr:uid="{D7DD9BD1-CC55-4EFD-81E2-CF97EBD8A64C}"/>
    <cellStyle name="Normal 2 5 4 5 2 3" xfId="20395" xr:uid="{B6C90A3B-6DE6-4D95-8BDC-92B29F7FC7F8}"/>
    <cellStyle name="Normal 2 5 4 5 2 4" xfId="11953" xr:uid="{D751B0E8-CDAB-4D3C-B41F-A6BE9E2D9844}"/>
    <cellStyle name="Normal 2 5 4 5 3" xfId="5533" xr:uid="{00000000-0005-0000-0000-000059110000}"/>
    <cellStyle name="Normal 2 5 4 5 3 2" xfId="22468" xr:uid="{3A9D61E3-84B4-4ACD-B292-679D14D562C6}"/>
    <cellStyle name="Normal 2 5 4 5 3 3" xfId="14027" xr:uid="{C10BC4A8-AC12-4678-999B-6B53BBFE776A}"/>
    <cellStyle name="Normal 2 5 4 5 4" xfId="18250" xr:uid="{B6E90B32-8B9C-4D3C-975D-8C58D4E224CD}"/>
    <cellStyle name="Normal 2 5 4 5 5" xfId="9776" xr:uid="{91B737E3-6F33-4B52-A8C3-627A8FF288E1}"/>
    <cellStyle name="Normal 2 5 4 6" xfId="1639" xr:uid="{00000000-0005-0000-0000-00005A110000}"/>
    <cellStyle name="Normal 2 5 4 6 2" xfId="3869" xr:uid="{00000000-0005-0000-0000-00005B110000}"/>
    <cellStyle name="Normal 2 5 4 6 2 2" xfId="8091" xr:uid="{00000000-0005-0000-0000-00005C110000}"/>
    <cellStyle name="Normal 2 5 4 6 2 2 2" xfId="25026" xr:uid="{C17DC1E1-3622-4633-80BB-2ADAD97ECE36}"/>
    <cellStyle name="Normal 2 5 4 6 2 2 3" xfId="16585" xr:uid="{C87FBCE6-420B-4DEE-BCA4-802B92999D54}"/>
    <cellStyle name="Normal 2 5 4 6 2 3" xfId="20808" xr:uid="{3EBDADC5-B39A-41A1-B876-2FF760CEB25C}"/>
    <cellStyle name="Normal 2 5 4 6 2 4" xfId="12366" xr:uid="{9C49277A-1666-44DC-A307-47774D532125}"/>
    <cellStyle name="Normal 2 5 4 6 3" xfId="5946" xr:uid="{00000000-0005-0000-0000-00005D110000}"/>
    <cellStyle name="Normal 2 5 4 6 3 2" xfId="22881" xr:uid="{84B84B3A-19E0-4B19-B202-89B519C7A1CB}"/>
    <cellStyle name="Normal 2 5 4 6 3 3" xfId="14440" xr:uid="{9AE4962F-5ECA-4C91-BCC6-577FE0E94A7E}"/>
    <cellStyle name="Normal 2 5 4 6 4" xfId="18663" xr:uid="{843B17EF-55D2-4AB7-A3B7-E7104AD15711}"/>
    <cellStyle name="Normal 2 5 4 6 5" xfId="10189" xr:uid="{659F02DD-713C-4D74-85A8-76029480F1CF}"/>
    <cellStyle name="Normal 2 5 4 7" xfId="2053" xr:uid="{00000000-0005-0000-0000-00005E110000}"/>
    <cellStyle name="Normal 2 5 4 7 2" xfId="4282" xr:uid="{00000000-0005-0000-0000-00005F110000}"/>
    <cellStyle name="Normal 2 5 4 7 2 2" xfId="8504" xr:uid="{00000000-0005-0000-0000-000060110000}"/>
    <cellStyle name="Normal 2 5 4 7 2 2 2" xfId="25439" xr:uid="{17834181-FABE-46E9-A7AC-1E623A28FA36}"/>
    <cellStyle name="Normal 2 5 4 7 2 2 3" xfId="16998" xr:uid="{1F4CDD32-705B-4385-BDB0-C52CA9ADC76D}"/>
    <cellStyle name="Normal 2 5 4 7 2 3" xfId="21221" xr:uid="{21EEC8DD-DEE8-4948-A2AF-6852B164F912}"/>
    <cellStyle name="Normal 2 5 4 7 2 4" xfId="12779" xr:uid="{9490DFFB-EDB6-43D2-AF19-0B80AC89A558}"/>
    <cellStyle name="Normal 2 5 4 7 3" xfId="6359" xr:uid="{00000000-0005-0000-0000-000061110000}"/>
    <cellStyle name="Normal 2 5 4 7 3 2" xfId="23294" xr:uid="{E5D96044-DCEE-42FE-85E5-7AFF77B04741}"/>
    <cellStyle name="Normal 2 5 4 7 3 3" xfId="14853" xr:uid="{1D3D5DA9-4C3E-4F59-9954-E6091BC9ABD9}"/>
    <cellStyle name="Normal 2 5 4 7 4" xfId="19076" xr:uid="{BABB8532-F3DE-422B-B9C9-FDD2EA3DA104}"/>
    <cellStyle name="Normal 2 5 4 7 5" xfId="10602" xr:uid="{8D318023-76C1-4D83-86A5-5695DD520D27}"/>
    <cellStyle name="Normal 2 5 4 8" xfId="2489" xr:uid="{00000000-0005-0000-0000-000062110000}"/>
    <cellStyle name="Normal 2 5 4 8 2" xfId="6772" xr:uid="{00000000-0005-0000-0000-000063110000}"/>
    <cellStyle name="Normal 2 5 4 8 2 2" xfId="23707" xr:uid="{D5B70C15-78C3-453F-9B1A-4767556E7882}"/>
    <cellStyle name="Normal 2 5 4 8 2 3" xfId="15266" xr:uid="{08156F9B-AE79-417D-A07C-9CE9FD095DC8}"/>
    <cellStyle name="Normal 2 5 4 8 3" xfId="19489" xr:uid="{120A253D-4098-48DD-9083-7700EC8D4EAC}"/>
    <cellStyle name="Normal 2 5 4 8 4" xfId="11037" xr:uid="{DF9028F2-32D9-4F6B-BA27-0CD0ADB46A55}"/>
    <cellStyle name="Normal 2 5 4 9" xfId="4706" xr:uid="{00000000-0005-0000-0000-000064110000}"/>
    <cellStyle name="Normal 2 5 4 9 2" xfId="21641" xr:uid="{04FDF17B-101F-4C88-847D-535223116B4A}"/>
    <cellStyle name="Normal 2 5 4 9 3" xfId="13200" xr:uid="{809FF6B8-5951-411E-8D8B-B5DEFB723A86}"/>
    <cellStyle name="Normal 2 5 5" xfId="803" xr:uid="{00000000-0005-0000-0000-000065110000}"/>
    <cellStyle name="Normal 2 5 5 2" xfId="3042" xr:uid="{00000000-0005-0000-0000-000066110000}"/>
    <cellStyle name="Normal 2 5 5 2 2" xfId="7264" xr:uid="{00000000-0005-0000-0000-000067110000}"/>
    <cellStyle name="Normal 2 5 5 2 2 2" xfId="24199" xr:uid="{231BB031-FB39-4578-9781-51E640490FA0}"/>
    <cellStyle name="Normal 2 5 5 2 2 3" xfId="15758" xr:uid="{C9B076FA-1D3F-4EF6-B37C-624D8E6BA344}"/>
    <cellStyle name="Normal 2 5 5 2 3" xfId="19981" xr:uid="{889A8344-7035-4892-B52C-BBD549B1EFA0}"/>
    <cellStyle name="Normal 2 5 5 2 4" xfId="11539" xr:uid="{F614DB31-6B75-40B8-913E-AF626DB7C71E}"/>
    <cellStyle name="Normal 2 5 5 3" xfId="5119" xr:uid="{00000000-0005-0000-0000-000068110000}"/>
    <cellStyle name="Normal 2 5 5 3 2" xfId="22054" xr:uid="{61E36619-5B17-4252-8C0C-B3751937E076}"/>
    <cellStyle name="Normal 2 5 5 3 3" xfId="13613" xr:uid="{D5480538-10F9-4465-B0EF-A533438DB94F}"/>
    <cellStyle name="Normal 2 5 5 4" xfId="17836" xr:uid="{732799C5-249A-43F4-A27F-966B323B39DF}"/>
    <cellStyle name="Normal 2 5 5 5" xfId="9362" xr:uid="{ADF75E41-A0B3-494C-9C3A-1273E8346515}"/>
    <cellStyle name="Normal 2 5 6" xfId="1225" xr:uid="{00000000-0005-0000-0000-000069110000}"/>
    <cellStyle name="Normal 2 5 6 2" xfId="3455" xr:uid="{00000000-0005-0000-0000-00006A110000}"/>
    <cellStyle name="Normal 2 5 6 2 2" xfId="7677" xr:uid="{00000000-0005-0000-0000-00006B110000}"/>
    <cellStyle name="Normal 2 5 6 2 2 2" xfId="24612" xr:uid="{EAA2DFB2-50CB-4314-B1BA-F1D161726952}"/>
    <cellStyle name="Normal 2 5 6 2 2 3" xfId="16171" xr:uid="{71B9429A-0C0A-4563-83C4-B173101916FD}"/>
    <cellStyle name="Normal 2 5 6 2 3" xfId="20394" xr:uid="{7477A33A-1371-4FBD-BF8B-6979D2F66B99}"/>
    <cellStyle name="Normal 2 5 6 2 4" xfId="11952" xr:uid="{5B018268-0825-47FA-8661-8EB1951B9EB6}"/>
    <cellStyle name="Normal 2 5 6 3" xfId="5532" xr:uid="{00000000-0005-0000-0000-00006C110000}"/>
    <cellStyle name="Normal 2 5 6 3 2" xfId="22467" xr:uid="{FA0B5D20-4293-482E-B9EE-B9F5641ADF24}"/>
    <cellStyle name="Normal 2 5 6 3 3" xfId="14026" xr:uid="{83CF6439-E2D6-46D1-87D8-DB042403E2D0}"/>
    <cellStyle name="Normal 2 5 6 4" xfId="18249" xr:uid="{DD508FCE-384E-40E2-B304-DBDE49EB73D4}"/>
    <cellStyle name="Normal 2 5 6 5" xfId="9775" xr:uid="{DB67C3EA-9F78-4E4D-9DAB-7862B109B5FB}"/>
    <cellStyle name="Normal 2 5 7" xfId="1638" xr:uid="{00000000-0005-0000-0000-00006D110000}"/>
    <cellStyle name="Normal 2 5 7 2" xfId="3868" xr:uid="{00000000-0005-0000-0000-00006E110000}"/>
    <cellStyle name="Normal 2 5 7 2 2" xfId="8090" xr:uid="{00000000-0005-0000-0000-00006F110000}"/>
    <cellStyle name="Normal 2 5 7 2 2 2" xfId="25025" xr:uid="{58B110EC-AC1F-4228-8DD5-E6688144E4EE}"/>
    <cellStyle name="Normal 2 5 7 2 2 3" xfId="16584" xr:uid="{DC891F37-0F08-4277-B094-CD3105311A5C}"/>
    <cellStyle name="Normal 2 5 7 2 3" xfId="20807" xr:uid="{964936BA-865F-42B1-A6E7-BD9E55433585}"/>
    <cellStyle name="Normal 2 5 7 2 4" xfId="12365" xr:uid="{F7605805-C52D-4091-B164-4A5BA6836940}"/>
    <cellStyle name="Normal 2 5 7 3" xfId="5945" xr:uid="{00000000-0005-0000-0000-000070110000}"/>
    <cellStyle name="Normal 2 5 7 3 2" xfId="22880" xr:uid="{BCA0AB7F-6D9A-49B4-A02F-E9B8CCB4C4D6}"/>
    <cellStyle name="Normal 2 5 7 3 3" xfId="14439" xr:uid="{A0557093-0417-4303-94DE-D8F9E3E88F3D}"/>
    <cellStyle name="Normal 2 5 7 4" xfId="18662" xr:uid="{07FEEF63-CCBC-47C1-9F14-8AE394D51974}"/>
    <cellStyle name="Normal 2 5 7 5" xfId="10188" xr:uid="{7BD78C27-D09F-43A1-95B8-2237352375C0}"/>
    <cellStyle name="Normal 2 5 8" xfId="2052" xr:uid="{00000000-0005-0000-0000-000071110000}"/>
    <cellStyle name="Normal 2 5 8 2" xfId="4281" xr:uid="{00000000-0005-0000-0000-000072110000}"/>
    <cellStyle name="Normal 2 5 8 2 2" xfId="8503" xr:uid="{00000000-0005-0000-0000-000073110000}"/>
    <cellStyle name="Normal 2 5 8 2 2 2" xfId="25438" xr:uid="{9CAA9C1B-B77E-4164-931E-89952B99887D}"/>
    <cellStyle name="Normal 2 5 8 2 2 3" xfId="16997" xr:uid="{80C00145-B3E3-4101-BEC9-A26847DAF958}"/>
    <cellStyle name="Normal 2 5 8 2 3" xfId="21220" xr:uid="{F53862FD-B98A-4EF2-94A4-FD19481F1350}"/>
    <cellStyle name="Normal 2 5 8 2 4" xfId="12778" xr:uid="{BCFCFDA8-B781-4E4A-886D-E68DB42EE186}"/>
    <cellStyle name="Normal 2 5 8 3" xfId="6358" xr:uid="{00000000-0005-0000-0000-000074110000}"/>
    <cellStyle name="Normal 2 5 8 3 2" xfId="23293" xr:uid="{22DC9307-7E37-4F44-A341-38A0E282F1AF}"/>
    <cellStyle name="Normal 2 5 8 3 3" xfId="14852" xr:uid="{0E2FED1C-A1AD-4D08-919A-0BB143C3F419}"/>
    <cellStyle name="Normal 2 5 8 4" xfId="19075" xr:uid="{B6DC6F11-A817-41EF-9947-51D5F1D75E3E}"/>
    <cellStyle name="Normal 2 5 8 5" xfId="10601" xr:uid="{F7C9B7AB-7C06-491D-9491-F94EF0667C04}"/>
    <cellStyle name="Normal 2 5 9" xfId="2488" xr:uid="{00000000-0005-0000-0000-000075110000}"/>
    <cellStyle name="Normal 2 5 9 2" xfId="6771" xr:uid="{00000000-0005-0000-0000-000076110000}"/>
    <cellStyle name="Normal 2 5 9 2 2" xfId="23706" xr:uid="{397A1ADA-FA8B-4ED1-9DB2-05695844B394}"/>
    <cellStyle name="Normal 2 5 9 2 3" xfId="15265" xr:uid="{A1EF1726-5F2E-4277-97B2-9D6BFC2507FC}"/>
    <cellStyle name="Normal 2 5 9 3" xfId="19488" xr:uid="{725869DA-FE42-4C0E-B7F8-03534F42C22F}"/>
    <cellStyle name="Normal 2 5 9 4" xfId="11036" xr:uid="{93E0512C-D716-4DFB-9B7A-71F849556E44}"/>
    <cellStyle name="Normal 2 6" xfId="322" xr:uid="{00000000-0005-0000-0000-000077110000}"/>
    <cellStyle name="Normal 2 7" xfId="769" xr:uid="{00000000-0005-0000-0000-000078110000}"/>
    <cellStyle name="Normal 2 8" xfId="4495" xr:uid="{00000000-0005-0000-0000-000079110000}"/>
    <cellStyle name="Normal 2 8 2" xfId="21432" xr:uid="{35FD08A3-0223-4AE4-8AE0-C24BC43A7556}"/>
    <cellStyle name="Normal 2 8 3" xfId="12990" xr:uid="{0A0B7A88-E510-426F-9376-D86952271B84}"/>
    <cellStyle name="Normal 3" xfId="323" xr:uid="{00000000-0005-0000-0000-00007A110000}"/>
    <cellStyle name="Normal 3 2" xfId="324" xr:uid="{00000000-0005-0000-0000-00007B110000}"/>
    <cellStyle name="Normal 3 2 10" xfId="17427" xr:uid="{25566518-D1E5-4B94-93F1-0D9F77DFAF02}"/>
    <cellStyle name="Normal 3 2 11" xfId="8952" xr:uid="{63361F5D-A5E5-43F1-B663-BF00A2A94CD4}"/>
    <cellStyle name="Normal 3 2 2" xfId="325" xr:uid="{00000000-0005-0000-0000-00007C110000}"/>
    <cellStyle name="Normal 3 2 2 2" xfId="810" xr:uid="{00000000-0005-0000-0000-00007D110000}"/>
    <cellStyle name="Normal 3 2 3" xfId="326" xr:uid="{00000000-0005-0000-0000-00007E110000}"/>
    <cellStyle name="Normal 3 2 3 10" xfId="17428" xr:uid="{9AB003D1-9AC1-4B23-AFDB-5174A3BCFF3D}"/>
    <cellStyle name="Normal 3 2 3 11" xfId="8953" xr:uid="{31061FDE-9A07-4706-95F5-1C10100CBAF5}"/>
    <cellStyle name="Normal 3 2 3 2" xfId="327" xr:uid="{00000000-0005-0000-0000-00007F110000}"/>
    <cellStyle name="Normal 3 2 3 2 10" xfId="8954" xr:uid="{45F3993A-CAE8-4C65-9021-A8030FE0504D}"/>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4207" xr:uid="{772FC90D-8F21-4042-B007-D9F49F6463C5}"/>
    <cellStyle name="Normal 3 2 3 2 2 2 2 2 3" xfId="15766" xr:uid="{F54F187F-9108-4C1B-8D66-7076A9A18D61}"/>
    <cellStyle name="Normal 3 2 3 2 2 2 2 3" xfId="19989" xr:uid="{58586855-185D-439B-A2E8-B76F39037636}"/>
    <cellStyle name="Normal 3 2 3 2 2 2 2 4" xfId="11547" xr:uid="{01673F11-DF0D-46BC-B41D-BCAF59DDE985}"/>
    <cellStyle name="Normal 3 2 3 2 2 2 3" xfId="5127" xr:uid="{00000000-0005-0000-0000-000084110000}"/>
    <cellStyle name="Normal 3 2 3 2 2 2 3 2" xfId="22062" xr:uid="{97D7610B-0E2F-4E4D-B2F9-F05AABE10F0F}"/>
    <cellStyle name="Normal 3 2 3 2 2 2 3 3" xfId="13621" xr:uid="{71787905-DBDB-4AC6-A2A8-609C5E084380}"/>
    <cellStyle name="Normal 3 2 3 2 2 2 4" xfId="17844" xr:uid="{29E661E0-39D5-4152-AF85-AD74626557C6}"/>
    <cellStyle name="Normal 3 2 3 2 2 2 5" xfId="9370" xr:uid="{1B525838-7421-425F-8325-284066155A28}"/>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4620" xr:uid="{EF202B0F-0858-4EB9-BB7A-670AF5F09DE9}"/>
    <cellStyle name="Normal 3 2 3 2 2 3 2 2 3" xfId="16179" xr:uid="{952068A1-CC52-4D6C-B620-26DD92E74F77}"/>
    <cellStyle name="Normal 3 2 3 2 2 3 2 3" xfId="20402" xr:uid="{32DF68B0-C985-4C58-A62E-3802F524882B}"/>
    <cellStyle name="Normal 3 2 3 2 2 3 2 4" xfId="11960" xr:uid="{52CDD2C6-8F95-4F1D-B97E-DB8ACE4605C1}"/>
    <cellStyle name="Normal 3 2 3 2 2 3 3" xfId="5540" xr:uid="{00000000-0005-0000-0000-000088110000}"/>
    <cellStyle name="Normal 3 2 3 2 2 3 3 2" xfId="22475" xr:uid="{1A89D611-9D82-420E-81F8-37C422276077}"/>
    <cellStyle name="Normal 3 2 3 2 2 3 3 3" xfId="14034" xr:uid="{A2632540-163A-4C59-83A5-9753C48D70B6}"/>
    <cellStyle name="Normal 3 2 3 2 2 3 4" xfId="18257" xr:uid="{44E3C500-C5F0-4804-BC6A-791691A9C96F}"/>
    <cellStyle name="Normal 3 2 3 2 2 3 5" xfId="9783" xr:uid="{94314983-85CE-4163-9922-83DC9E44745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5033" xr:uid="{DA66DCDA-5165-4A8A-B0CD-313F935CED6C}"/>
    <cellStyle name="Normal 3 2 3 2 2 4 2 2 3" xfId="16592" xr:uid="{A218AF02-F448-4DF8-B97B-15E52216A2CF}"/>
    <cellStyle name="Normal 3 2 3 2 2 4 2 3" xfId="20815" xr:uid="{C58992AB-6A6F-4206-8DB3-1F6759CFEF0B}"/>
    <cellStyle name="Normal 3 2 3 2 2 4 2 4" xfId="12373" xr:uid="{EC64C700-014F-44A3-A0AE-FF8E019FCB09}"/>
    <cellStyle name="Normal 3 2 3 2 2 4 3" xfId="5953" xr:uid="{00000000-0005-0000-0000-00008C110000}"/>
    <cellStyle name="Normal 3 2 3 2 2 4 3 2" xfId="22888" xr:uid="{0FE1D57B-EE91-491B-8DB7-941BCCD6BDFE}"/>
    <cellStyle name="Normal 3 2 3 2 2 4 3 3" xfId="14447" xr:uid="{88B478A6-0F2C-4B84-986B-C4761ECC27C3}"/>
    <cellStyle name="Normal 3 2 3 2 2 4 4" xfId="18670" xr:uid="{A741D676-C4D3-46A4-9320-20752F8E72B7}"/>
    <cellStyle name="Normal 3 2 3 2 2 4 5" xfId="10196" xr:uid="{FB6836E9-89CF-4525-BF2E-F7C1DD49CC5D}"/>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5446" xr:uid="{4AE63137-69DE-4B89-A3A0-FC821BB2ACEE}"/>
    <cellStyle name="Normal 3 2 3 2 2 5 2 2 3" xfId="17005" xr:uid="{B61FC64B-5493-4FD7-964D-80C20C03FA5F}"/>
    <cellStyle name="Normal 3 2 3 2 2 5 2 3" xfId="21228" xr:uid="{E47E7B05-D8C5-474A-A21A-40944874B574}"/>
    <cellStyle name="Normal 3 2 3 2 2 5 2 4" xfId="12786" xr:uid="{7C2E0CAB-157E-4B77-A304-4378A20D11CC}"/>
    <cellStyle name="Normal 3 2 3 2 2 5 3" xfId="6366" xr:uid="{00000000-0005-0000-0000-000090110000}"/>
    <cellStyle name="Normal 3 2 3 2 2 5 3 2" xfId="23301" xr:uid="{A058D95F-E1EA-4741-8525-4BE9B4D60A46}"/>
    <cellStyle name="Normal 3 2 3 2 2 5 3 3" xfId="14860" xr:uid="{5BF688BE-087A-4393-8E5E-0241B44AF646}"/>
    <cellStyle name="Normal 3 2 3 2 2 5 4" xfId="19083" xr:uid="{A1AADCF7-A776-4831-8C33-2AF5C9E6DAD1}"/>
    <cellStyle name="Normal 3 2 3 2 2 5 5" xfId="10609" xr:uid="{06B9B29B-2BC6-4D81-9595-28FB41733E0C}"/>
    <cellStyle name="Normal 3 2 3 2 2 6" xfId="2496" xr:uid="{00000000-0005-0000-0000-000091110000}"/>
    <cellStyle name="Normal 3 2 3 2 2 6 2" xfId="6779" xr:uid="{00000000-0005-0000-0000-000092110000}"/>
    <cellStyle name="Normal 3 2 3 2 2 6 2 2" xfId="23714" xr:uid="{7354963D-37E3-4312-8BB4-10B85543ACFF}"/>
    <cellStyle name="Normal 3 2 3 2 2 6 2 3" xfId="15273" xr:uid="{ADD7D040-373A-487B-81EC-4113615DCAE0}"/>
    <cellStyle name="Normal 3 2 3 2 2 6 3" xfId="19496" xr:uid="{3B0FA1E1-CDE1-45CE-BEDE-C89DDE1A8769}"/>
    <cellStyle name="Normal 3 2 3 2 2 6 4" xfId="11044" xr:uid="{A9F851BD-C4AA-493F-B3F0-302FA1D049AD}"/>
    <cellStyle name="Normal 3 2 3 2 2 7" xfId="4713" xr:uid="{00000000-0005-0000-0000-000093110000}"/>
    <cellStyle name="Normal 3 2 3 2 2 7 2" xfId="21648" xr:uid="{D8A9A97B-4FBF-4CD4-BAAA-872E30CD4EA7}"/>
    <cellStyle name="Normal 3 2 3 2 2 7 3" xfId="13207" xr:uid="{28D7AD12-36E8-4D5C-83C1-AA3D47AEF7AD}"/>
    <cellStyle name="Normal 3 2 3 2 2 8" xfId="17430" xr:uid="{033752E2-8142-4125-9E98-762713F96B97}"/>
    <cellStyle name="Normal 3 2 3 2 2 9" xfId="8955" xr:uid="{FEEA95D2-0889-4825-84EE-50C8EAA09C36}"/>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4206" xr:uid="{D8612A02-C35E-4416-A977-D9A6ACAB53AB}"/>
    <cellStyle name="Normal 3 2 3 2 3 2 2 3" xfId="15765" xr:uid="{BBD47333-D777-41B5-8350-E5CDD3C20C2E}"/>
    <cellStyle name="Normal 3 2 3 2 3 2 3" xfId="19988" xr:uid="{FBB07BBF-2043-421F-AE13-55155904326D}"/>
    <cellStyle name="Normal 3 2 3 2 3 2 4" xfId="11546" xr:uid="{C3D6C2A9-4DC7-4796-A969-18E6F957C943}"/>
    <cellStyle name="Normal 3 2 3 2 3 3" xfId="5126" xr:uid="{00000000-0005-0000-0000-000097110000}"/>
    <cellStyle name="Normal 3 2 3 2 3 3 2" xfId="22061" xr:uid="{B9E8A543-F850-474B-8655-169DBFEDE3EB}"/>
    <cellStyle name="Normal 3 2 3 2 3 3 3" xfId="13620" xr:uid="{09E944FA-D6B5-47EF-8819-F28D8E2C16C2}"/>
    <cellStyle name="Normal 3 2 3 2 3 4" xfId="17843" xr:uid="{CD05E0FF-4CDA-4B4F-9800-9566972AF96D}"/>
    <cellStyle name="Normal 3 2 3 2 3 5" xfId="9369" xr:uid="{24D98499-68F6-408A-B3A7-4716D9EDDAEB}"/>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4619" xr:uid="{779A1FE7-482F-4D75-94B8-535A600A8C10}"/>
    <cellStyle name="Normal 3 2 3 2 4 2 2 3" xfId="16178" xr:uid="{E7B8C802-9239-4734-8C3E-B0A7683551EF}"/>
    <cellStyle name="Normal 3 2 3 2 4 2 3" xfId="20401" xr:uid="{C41079BE-92EB-4037-8BFE-7E9DB9E0F71F}"/>
    <cellStyle name="Normal 3 2 3 2 4 2 4" xfId="11959" xr:uid="{71DEDCC3-23A3-49D8-911E-8ABFEC3BFE81}"/>
    <cellStyle name="Normal 3 2 3 2 4 3" xfId="5539" xr:uid="{00000000-0005-0000-0000-00009B110000}"/>
    <cellStyle name="Normal 3 2 3 2 4 3 2" xfId="22474" xr:uid="{E72462D4-8A3E-4442-8CB9-F4EA4DB3E541}"/>
    <cellStyle name="Normal 3 2 3 2 4 3 3" xfId="14033" xr:uid="{8E207585-4E57-4F0D-A788-222EBCFDECF2}"/>
    <cellStyle name="Normal 3 2 3 2 4 4" xfId="18256" xr:uid="{80A0C593-A069-44F9-9E48-A2312DD8569E}"/>
    <cellStyle name="Normal 3 2 3 2 4 5" xfId="9782" xr:uid="{EF0A1987-9601-48E5-91AE-B3CAE0F22AC6}"/>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5032" xr:uid="{8F3A4B55-B548-48D5-A2CF-73DA0E94B7FD}"/>
    <cellStyle name="Normal 3 2 3 2 5 2 2 3" xfId="16591" xr:uid="{9A2D3940-3A8C-4BCE-9B03-BE30460670AB}"/>
    <cellStyle name="Normal 3 2 3 2 5 2 3" xfId="20814" xr:uid="{606024DB-416D-4C2C-A7D7-4D6E917AAA42}"/>
    <cellStyle name="Normal 3 2 3 2 5 2 4" xfId="12372" xr:uid="{B40AE5AB-BEE9-441E-A04E-089855ED6AA1}"/>
    <cellStyle name="Normal 3 2 3 2 5 3" xfId="5952" xr:uid="{00000000-0005-0000-0000-00009F110000}"/>
    <cellStyle name="Normal 3 2 3 2 5 3 2" xfId="22887" xr:uid="{CE6B2473-7185-44DE-89BE-40318EA59A7B}"/>
    <cellStyle name="Normal 3 2 3 2 5 3 3" xfId="14446" xr:uid="{0D0ECCFF-B463-4F81-856F-0E7C782AAE78}"/>
    <cellStyle name="Normal 3 2 3 2 5 4" xfId="18669" xr:uid="{CEBCAB8D-2F64-419A-9309-DA827F35F70A}"/>
    <cellStyle name="Normal 3 2 3 2 5 5" xfId="10195" xr:uid="{0B992BC0-1C32-4BB0-8D3F-DFB8A4C214DC}"/>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5445" xr:uid="{73FD5306-75BB-4533-9F19-283F14871A1A}"/>
    <cellStyle name="Normal 3 2 3 2 6 2 2 3" xfId="17004" xr:uid="{590BA87E-D6DB-47CB-8C73-185EF381F245}"/>
    <cellStyle name="Normal 3 2 3 2 6 2 3" xfId="21227" xr:uid="{FEE1F247-AB9B-4B54-81D6-980FD56DE900}"/>
    <cellStyle name="Normal 3 2 3 2 6 2 4" xfId="12785" xr:uid="{46F18DD6-4EC9-496D-8C5B-5D23EA2D6408}"/>
    <cellStyle name="Normal 3 2 3 2 6 3" xfId="6365" xr:uid="{00000000-0005-0000-0000-0000A3110000}"/>
    <cellStyle name="Normal 3 2 3 2 6 3 2" xfId="23300" xr:uid="{52D40D13-975F-4E3D-97C9-AC4F20C90D4E}"/>
    <cellStyle name="Normal 3 2 3 2 6 3 3" xfId="14859" xr:uid="{2E25A716-0F4E-4A28-B415-6197F2A134E9}"/>
    <cellStyle name="Normal 3 2 3 2 6 4" xfId="19082" xr:uid="{7FEA841E-5FE4-4404-82CD-BF0181684243}"/>
    <cellStyle name="Normal 3 2 3 2 6 5" xfId="10608" xr:uid="{EFA19958-99FB-4BBE-ADBF-314F44DA6718}"/>
    <cellStyle name="Normal 3 2 3 2 7" xfId="2495" xr:uid="{00000000-0005-0000-0000-0000A4110000}"/>
    <cellStyle name="Normal 3 2 3 2 7 2" xfId="6778" xr:uid="{00000000-0005-0000-0000-0000A5110000}"/>
    <cellStyle name="Normal 3 2 3 2 7 2 2" xfId="23713" xr:uid="{662AB50E-60F8-4B71-AA04-680308615AAD}"/>
    <cellStyle name="Normal 3 2 3 2 7 2 3" xfId="15272" xr:uid="{87D09AC0-179F-4E6E-BA66-AD8F5C54962B}"/>
    <cellStyle name="Normal 3 2 3 2 7 3" xfId="19495" xr:uid="{BB8203E4-58A4-4B01-A8BB-89428B5A9549}"/>
    <cellStyle name="Normal 3 2 3 2 7 4" xfId="11043" xr:uid="{0C87F3D4-6064-49D5-8AC4-90E02892E88F}"/>
    <cellStyle name="Normal 3 2 3 2 8" xfId="4712" xr:uid="{00000000-0005-0000-0000-0000A6110000}"/>
    <cellStyle name="Normal 3 2 3 2 8 2" xfId="21647" xr:uid="{9EE81D5C-4185-4083-9316-67FA6D472119}"/>
    <cellStyle name="Normal 3 2 3 2 8 3" xfId="13206" xr:uid="{52778196-E9BB-4215-A4FA-76911B1D4948}"/>
    <cellStyle name="Normal 3 2 3 2 9" xfId="17429" xr:uid="{E98E2AF1-6766-4DE3-83FA-68C0E524D82B}"/>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4208" xr:uid="{ED194D91-5922-4FED-A7C7-67EF6940709D}"/>
    <cellStyle name="Normal 3 2 3 3 2 2 2 3" xfId="15767" xr:uid="{ECA62B35-338A-49D4-A882-4EA5193DE152}"/>
    <cellStyle name="Normal 3 2 3 3 2 2 3" xfId="19990" xr:uid="{505AF54D-403B-4083-B81D-DE12C41B7D94}"/>
    <cellStyle name="Normal 3 2 3 3 2 2 4" xfId="11548" xr:uid="{2F38BF5C-AFE4-45B8-84B9-C3A4322BD546}"/>
    <cellStyle name="Normal 3 2 3 3 2 3" xfId="5128" xr:uid="{00000000-0005-0000-0000-0000AB110000}"/>
    <cellStyle name="Normal 3 2 3 3 2 3 2" xfId="22063" xr:uid="{6B7C990B-A5E3-49E9-9313-3707E4978FF9}"/>
    <cellStyle name="Normal 3 2 3 3 2 3 3" xfId="13622" xr:uid="{8A4B470B-01FE-434D-A785-3DA8BEA7BF5F}"/>
    <cellStyle name="Normal 3 2 3 3 2 4" xfId="17845" xr:uid="{5C45DDFA-0063-44CA-BF38-85EF62812D92}"/>
    <cellStyle name="Normal 3 2 3 3 2 5" xfId="9371" xr:uid="{27B51C5B-8D6B-4EA7-BFCA-8677007851C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4621" xr:uid="{694CB4B5-38EA-4540-87C4-622173B996EC}"/>
    <cellStyle name="Normal 3 2 3 3 3 2 2 3" xfId="16180" xr:uid="{61E8622F-070A-49FA-A765-556F24A688EA}"/>
    <cellStyle name="Normal 3 2 3 3 3 2 3" xfId="20403" xr:uid="{A6829993-FBA9-4E90-ACED-2CCAD166182A}"/>
    <cellStyle name="Normal 3 2 3 3 3 2 4" xfId="11961" xr:uid="{DC6F8AA5-DEDE-456D-ABB2-CE98BCD2C2B8}"/>
    <cellStyle name="Normal 3 2 3 3 3 3" xfId="5541" xr:uid="{00000000-0005-0000-0000-0000AF110000}"/>
    <cellStyle name="Normal 3 2 3 3 3 3 2" xfId="22476" xr:uid="{D6C27DC3-3DB5-4035-B400-D6CB33AC3A7C}"/>
    <cellStyle name="Normal 3 2 3 3 3 3 3" xfId="14035" xr:uid="{4FE7F805-4279-446C-964E-1190EB2B530F}"/>
    <cellStyle name="Normal 3 2 3 3 3 4" xfId="18258" xr:uid="{298A081B-47EE-4B19-9F93-694F5E64AE97}"/>
    <cellStyle name="Normal 3 2 3 3 3 5" xfId="9784" xr:uid="{7AA56B60-D26D-493B-B473-B16445DBA582}"/>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5034" xr:uid="{57574111-CBB7-489D-8F1F-1D7F96E631B6}"/>
    <cellStyle name="Normal 3 2 3 3 4 2 2 3" xfId="16593" xr:uid="{D7108411-5E3E-4341-8938-FA75E0270421}"/>
    <cellStyle name="Normal 3 2 3 3 4 2 3" xfId="20816" xr:uid="{2601C523-405E-43AE-B675-477EB53FE991}"/>
    <cellStyle name="Normal 3 2 3 3 4 2 4" xfId="12374" xr:uid="{7A9B3DB1-AF9B-4CF3-8736-8DBA9586AA0C}"/>
    <cellStyle name="Normal 3 2 3 3 4 3" xfId="5954" xr:uid="{00000000-0005-0000-0000-0000B3110000}"/>
    <cellStyle name="Normal 3 2 3 3 4 3 2" xfId="22889" xr:uid="{A366C773-9C66-4B96-B698-108C0691CB60}"/>
    <cellStyle name="Normal 3 2 3 3 4 3 3" xfId="14448" xr:uid="{BFB60337-C0CE-4345-8F7C-D1134BF6DF43}"/>
    <cellStyle name="Normal 3 2 3 3 4 4" xfId="18671" xr:uid="{AB488E4D-3F41-4272-AD1C-67C03C13017E}"/>
    <cellStyle name="Normal 3 2 3 3 4 5" xfId="10197" xr:uid="{8DBEE283-F323-43ED-922A-D47CBBDE9F40}"/>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5447" xr:uid="{17CCCCF6-F51E-41C7-BF15-1E48CCE32CFD}"/>
    <cellStyle name="Normal 3 2 3 3 5 2 2 3" xfId="17006" xr:uid="{849D9F62-3C91-4DDD-94C0-99A6ABFB4665}"/>
    <cellStyle name="Normal 3 2 3 3 5 2 3" xfId="21229" xr:uid="{50D1D814-96B7-4126-A34D-CF9A2C0F8A48}"/>
    <cellStyle name="Normal 3 2 3 3 5 2 4" xfId="12787" xr:uid="{596232F0-A2BD-45CB-B36A-E62AD36F5BEF}"/>
    <cellStyle name="Normal 3 2 3 3 5 3" xfId="6367" xr:uid="{00000000-0005-0000-0000-0000B7110000}"/>
    <cellStyle name="Normal 3 2 3 3 5 3 2" xfId="23302" xr:uid="{DD266FB9-CC0C-4E36-AD19-4F811E461970}"/>
    <cellStyle name="Normal 3 2 3 3 5 3 3" xfId="14861" xr:uid="{28CA345B-652A-43C8-8B3A-404301FFB0BC}"/>
    <cellStyle name="Normal 3 2 3 3 5 4" xfId="19084" xr:uid="{958F59B4-9911-48CF-B720-174D98D44A15}"/>
    <cellStyle name="Normal 3 2 3 3 5 5" xfId="10610" xr:uid="{D1F9C39E-68C2-4308-B8F0-C931A9756133}"/>
    <cellStyle name="Normal 3 2 3 3 6" xfId="2497" xr:uid="{00000000-0005-0000-0000-0000B8110000}"/>
    <cellStyle name="Normal 3 2 3 3 6 2" xfId="6780" xr:uid="{00000000-0005-0000-0000-0000B9110000}"/>
    <cellStyle name="Normal 3 2 3 3 6 2 2" xfId="23715" xr:uid="{FBF038BC-52E3-40FF-89AA-274CC7084722}"/>
    <cellStyle name="Normal 3 2 3 3 6 2 3" xfId="15274" xr:uid="{65645138-22AE-4484-B773-EFD0A273ADE6}"/>
    <cellStyle name="Normal 3 2 3 3 6 3" xfId="19497" xr:uid="{7787ACDD-F0CD-4A33-8DA4-3849867A8538}"/>
    <cellStyle name="Normal 3 2 3 3 6 4" xfId="11045" xr:uid="{49701127-A18A-48BF-A2EF-A5E04DDCF5CC}"/>
    <cellStyle name="Normal 3 2 3 3 7" xfId="4714" xr:uid="{00000000-0005-0000-0000-0000BA110000}"/>
    <cellStyle name="Normal 3 2 3 3 7 2" xfId="21649" xr:uid="{83CB2DF3-8705-4711-8FE7-07602B6FAF1C}"/>
    <cellStyle name="Normal 3 2 3 3 7 3" xfId="13208" xr:uid="{B5AE2610-A8BE-48F6-A2C1-DA169695298F}"/>
    <cellStyle name="Normal 3 2 3 3 8" xfId="17431" xr:uid="{97D1921E-738D-4760-B4ED-72EE79B218F6}"/>
    <cellStyle name="Normal 3 2 3 3 9" xfId="8956" xr:uid="{149D41D9-E132-484C-953C-B85FFB72CBF6}"/>
    <cellStyle name="Normal 3 2 3 4" xfId="811" xr:uid="{00000000-0005-0000-0000-0000BB110000}"/>
    <cellStyle name="Normal 3 2 3 4 2" xfId="3048" xr:uid="{00000000-0005-0000-0000-0000BC110000}"/>
    <cellStyle name="Normal 3 2 3 4 2 2" xfId="7270" xr:uid="{00000000-0005-0000-0000-0000BD110000}"/>
    <cellStyle name="Normal 3 2 3 4 2 2 2" xfId="24205" xr:uid="{380A7187-809A-4B6D-AD44-4B13D4E4AD44}"/>
    <cellStyle name="Normal 3 2 3 4 2 2 3" xfId="15764" xr:uid="{6F07C24B-41AD-4F24-9E22-77A6A70847C9}"/>
    <cellStyle name="Normal 3 2 3 4 2 3" xfId="19987" xr:uid="{C9B09147-16A8-433A-A99E-2345E63688A5}"/>
    <cellStyle name="Normal 3 2 3 4 2 4" xfId="11545" xr:uid="{EE3DF888-F4D7-4CEF-AF8B-6A9D54FA7904}"/>
    <cellStyle name="Normal 3 2 3 4 3" xfId="5125" xr:uid="{00000000-0005-0000-0000-0000BE110000}"/>
    <cellStyle name="Normal 3 2 3 4 3 2" xfId="22060" xr:uid="{0AC45E6D-781F-4CB5-9171-1AFC21DB7532}"/>
    <cellStyle name="Normal 3 2 3 4 3 3" xfId="13619" xr:uid="{BAB8EDA8-A0DD-419A-B855-4DCC779EBDEA}"/>
    <cellStyle name="Normal 3 2 3 4 4" xfId="17842" xr:uid="{FA2E1572-B8D4-4375-AE38-62BA27397246}"/>
    <cellStyle name="Normal 3 2 3 4 5" xfId="9368" xr:uid="{89097BD0-9E74-47FF-AEDA-6D76D7E42EC8}"/>
    <cellStyle name="Normal 3 2 3 5" xfId="1231" xr:uid="{00000000-0005-0000-0000-0000BF110000}"/>
    <cellStyle name="Normal 3 2 3 5 2" xfId="3461" xr:uid="{00000000-0005-0000-0000-0000C0110000}"/>
    <cellStyle name="Normal 3 2 3 5 2 2" xfId="7683" xr:uid="{00000000-0005-0000-0000-0000C1110000}"/>
    <cellStyle name="Normal 3 2 3 5 2 2 2" xfId="24618" xr:uid="{DF65FEE0-29BE-4F9C-AB51-E6F8730FDE30}"/>
    <cellStyle name="Normal 3 2 3 5 2 2 3" xfId="16177" xr:uid="{C42D39EB-C20D-4815-AC45-C9BF420EF140}"/>
    <cellStyle name="Normal 3 2 3 5 2 3" xfId="20400" xr:uid="{991D56EF-29CA-4319-BB6E-2C28BC91D9A0}"/>
    <cellStyle name="Normal 3 2 3 5 2 4" xfId="11958" xr:uid="{E1C55004-2032-4656-AE48-471AD3689B99}"/>
    <cellStyle name="Normal 3 2 3 5 3" xfId="5538" xr:uid="{00000000-0005-0000-0000-0000C2110000}"/>
    <cellStyle name="Normal 3 2 3 5 3 2" xfId="22473" xr:uid="{D6FDA185-E231-4C91-BCA4-5A7CB8ECACA2}"/>
    <cellStyle name="Normal 3 2 3 5 3 3" xfId="14032" xr:uid="{DDBB38C3-9243-465C-B51A-040AC0A8C0C2}"/>
    <cellStyle name="Normal 3 2 3 5 4" xfId="18255" xr:uid="{E0BA63C5-130F-4157-B24F-363151BDF0FE}"/>
    <cellStyle name="Normal 3 2 3 5 5" xfId="9781" xr:uid="{5E373D00-1B73-470E-8ACB-8DCFB025F65A}"/>
    <cellStyle name="Normal 3 2 3 6" xfId="1644" xr:uid="{00000000-0005-0000-0000-0000C3110000}"/>
    <cellStyle name="Normal 3 2 3 6 2" xfId="3874" xr:uid="{00000000-0005-0000-0000-0000C4110000}"/>
    <cellStyle name="Normal 3 2 3 6 2 2" xfId="8096" xr:uid="{00000000-0005-0000-0000-0000C5110000}"/>
    <cellStyle name="Normal 3 2 3 6 2 2 2" xfId="25031" xr:uid="{1430B65D-F776-4C92-B342-53764DE6540B}"/>
    <cellStyle name="Normal 3 2 3 6 2 2 3" xfId="16590" xr:uid="{1079ADDC-18D4-4094-9CBF-CCF3EC463C97}"/>
    <cellStyle name="Normal 3 2 3 6 2 3" xfId="20813" xr:uid="{09C61456-3258-4553-8473-B88D77874852}"/>
    <cellStyle name="Normal 3 2 3 6 2 4" xfId="12371" xr:uid="{0ABFB9BA-4A89-4AF0-9853-55DFF587CE5D}"/>
    <cellStyle name="Normal 3 2 3 6 3" xfId="5951" xr:uid="{00000000-0005-0000-0000-0000C6110000}"/>
    <cellStyle name="Normal 3 2 3 6 3 2" xfId="22886" xr:uid="{A1F17DCA-E15C-4AAD-A207-BAFAA1D17838}"/>
    <cellStyle name="Normal 3 2 3 6 3 3" xfId="14445" xr:uid="{5DF9B8D0-F2BF-4101-A8E4-583C686ABC56}"/>
    <cellStyle name="Normal 3 2 3 6 4" xfId="18668" xr:uid="{E4E50642-4777-41F5-ADC7-9C7B6B9D8A06}"/>
    <cellStyle name="Normal 3 2 3 6 5" xfId="10194" xr:uid="{8D8D1775-589D-44E1-A088-6DFE58A29391}"/>
    <cellStyle name="Normal 3 2 3 7" xfId="2058" xr:uid="{00000000-0005-0000-0000-0000C7110000}"/>
    <cellStyle name="Normal 3 2 3 7 2" xfId="4287" xr:uid="{00000000-0005-0000-0000-0000C8110000}"/>
    <cellStyle name="Normal 3 2 3 7 2 2" xfId="8509" xr:uid="{00000000-0005-0000-0000-0000C9110000}"/>
    <cellStyle name="Normal 3 2 3 7 2 2 2" xfId="25444" xr:uid="{B407017F-8296-4DB1-A4BC-16BD54E6489E}"/>
    <cellStyle name="Normal 3 2 3 7 2 2 3" xfId="17003" xr:uid="{A09C181B-01AB-45BD-8508-5F56FC434167}"/>
    <cellStyle name="Normal 3 2 3 7 2 3" xfId="21226" xr:uid="{3E69BCEF-5E18-49A6-8745-E23F27472B37}"/>
    <cellStyle name="Normal 3 2 3 7 2 4" xfId="12784" xr:uid="{434B6EC7-2764-4C32-A150-4C81F4EA8817}"/>
    <cellStyle name="Normal 3 2 3 7 3" xfId="6364" xr:uid="{00000000-0005-0000-0000-0000CA110000}"/>
    <cellStyle name="Normal 3 2 3 7 3 2" xfId="23299" xr:uid="{98067017-1EB0-4BE2-94B4-0F8B307E07A5}"/>
    <cellStyle name="Normal 3 2 3 7 3 3" xfId="14858" xr:uid="{5574705D-BD9C-4B45-BB73-C0238DAFB110}"/>
    <cellStyle name="Normal 3 2 3 7 4" xfId="19081" xr:uid="{3F20D6A9-DE28-41CC-9832-A5E3CAD4BD96}"/>
    <cellStyle name="Normal 3 2 3 7 5" xfId="10607" xr:uid="{6B3230F9-769F-42E2-975A-1E993F298D45}"/>
    <cellStyle name="Normal 3 2 3 8" xfId="2494" xr:uid="{00000000-0005-0000-0000-0000CB110000}"/>
    <cellStyle name="Normal 3 2 3 8 2" xfId="6777" xr:uid="{00000000-0005-0000-0000-0000CC110000}"/>
    <cellStyle name="Normal 3 2 3 8 2 2" xfId="23712" xr:uid="{9D992E8D-3794-4E3F-B588-644D5AE3F65E}"/>
    <cellStyle name="Normal 3 2 3 8 2 3" xfId="15271" xr:uid="{C428B647-1E99-4256-9213-190D14997B03}"/>
    <cellStyle name="Normal 3 2 3 8 3" xfId="19494" xr:uid="{4CA0DB94-A4BA-4BAF-A4B4-7F843F1ACD00}"/>
    <cellStyle name="Normal 3 2 3 8 4" xfId="11042" xr:uid="{762EA8C3-13D1-4684-8D80-0635AA114EE2}"/>
    <cellStyle name="Normal 3 2 3 9" xfId="4711" xr:uid="{00000000-0005-0000-0000-0000CD110000}"/>
    <cellStyle name="Normal 3 2 3 9 2" xfId="21646" xr:uid="{A62AD184-15B1-40CD-BD94-D4569AAE7E13}"/>
    <cellStyle name="Normal 3 2 3 9 3" xfId="13205" xr:uid="{54D9073D-34D3-4E01-8AD1-FF166BD80FFE}"/>
    <cellStyle name="Normal 3 2 4" xfId="809" xr:uid="{00000000-0005-0000-0000-0000CE110000}"/>
    <cellStyle name="Normal 3 2 4 2" xfId="3047" xr:uid="{00000000-0005-0000-0000-0000CF110000}"/>
    <cellStyle name="Normal 3 2 4 2 2" xfId="7269" xr:uid="{00000000-0005-0000-0000-0000D0110000}"/>
    <cellStyle name="Normal 3 2 4 2 2 2" xfId="24204" xr:uid="{D6533F45-0FC4-4D27-B8B3-7E28C3FBC517}"/>
    <cellStyle name="Normal 3 2 4 2 2 3" xfId="15763" xr:uid="{C9670FE8-470B-403F-B868-E844A4BA8AEB}"/>
    <cellStyle name="Normal 3 2 4 2 3" xfId="19986" xr:uid="{67AA60D3-E33F-4D93-B78B-2350AA12BDB2}"/>
    <cellStyle name="Normal 3 2 4 2 4" xfId="11544" xr:uid="{C08C58B1-55F8-4838-B8DF-99560F4723CB}"/>
    <cellStyle name="Normal 3 2 4 3" xfId="5124" xr:uid="{00000000-0005-0000-0000-0000D1110000}"/>
    <cellStyle name="Normal 3 2 4 3 2" xfId="22059" xr:uid="{3636B329-EBD1-480D-BA44-1ACE5D8FE79A}"/>
    <cellStyle name="Normal 3 2 4 3 3" xfId="13618" xr:uid="{1B4C712A-2876-41D8-B801-804FF147364E}"/>
    <cellStyle name="Normal 3 2 4 4" xfId="17841" xr:uid="{6855BB85-08F2-4852-A468-0E7747D7C0D0}"/>
    <cellStyle name="Normal 3 2 4 5" xfId="9367" xr:uid="{EB780051-B22A-41B9-8A46-4D7570215B4A}"/>
    <cellStyle name="Normal 3 2 5" xfId="1230" xr:uid="{00000000-0005-0000-0000-0000D2110000}"/>
    <cellStyle name="Normal 3 2 5 2" xfId="3460" xr:uid="{00000000-0005-0000-0000-0000D3110000}"/>
    <cellStyle name="Normal 3 2 5 2 2" xfId="7682" xr:uid="{00000000-0005-0000-0000-0000D4110000}"/>
    <cellStyle name="Normal 3 2 5 2 2 2" xfId="24617" xr:uid="{85B30510-1261-4F8D-AAA3-7776CFD733E5}"/>
    <cellStyle name="Normal 3 2 5 2 2 3" xfId="16176" xr:uid="{BB7F1C64-888F-4EE8-811A-9C9DDAD6BA10}"/>
    <cellStyle name="Normal 3 2 5 2 3" xfId="20399" xr:uid="{730E4254-9F0A-4533-B2AD-3C40BB9671F9}"/>
    <cellStyle name="Normal 3 2 5 2 4" xfId="11957" xr:uid="{0A9A2864-2EF5-4F1D-8DF6-EAF364703233}"/>
    <cellStyle name="Normal 3 2 5 3" xfId="5537" xr:uid="{00000000-0005-0000-0000-0000D5110000}"/>
    <cellStyle name="Normal 3 2 5 3 2" xfId="22472" xr:uid="{529BE85B-2734-4817-ADB7-976F1EF48DEF}"/>
    <cellStyle name="Normal 3 2 5 3 3" xfId="14031" xr:uid="{C1DF45C9-BDCC-4B27-8EEE-2785B27080A1}"/>
    <cellStyle name="Normal 3 2 5 4" xfId="18254" xr:uid="{8BB723EC-85ED-498F-BAD1-C3E821A165B5}"/>
    <cellStyle name="Normal 3 2 5 5" xfId="9780" xr:uid="{EECC0B10-E854-4B94-8C8F-9350E7670F8D}"/>
    <cellStyle name="Normal 3 2 6" xfId="1643" xr:uid="{00000000-0005-0000-0000-0000D6110000}"/>
    <cellStyle name="Normal 3 2 6 2" xfId="3873" xr:uid="{00000000-0005-0000-0000-0000D7110000}"/>
    <cellStyle name="Normal 3 2 6 2 2" xfId="8095" xr:uid="{00000000-0005-0000-0000-0000D8110000}"/>
    <cellStyle name="Normal 3 2 6 2 2 2" xfId="25030" xr:uid="{89239E66-A07F-4C24-8B1F-CD1916C86D83}"/>
    <cellStyle name="Normal 3 2 6 2 2 3" xfId="16589" xr:uid="{EB87293C-88F4-4F6E-83BF-343CF06DB3A3}"/>
    <cellStyle name="Normal 3 2 6 2 3" xfId="20812" xr:uid="{4591B744-61BA-46BE-A108-A0759920F576}"/>
    <cellStyle name="Normal 3 2 6 2 4" xfId="12370" xr:uid="{D0549E55-1728-400D-90AF-28ADD43688E0}"/>
    <cellStyle name="Normal 3 2 6 3" xfId="5950" xr:uid="{00000000-0005-0000-0000-0000D9110000}"/>
    <cellStyle name="Normal 3 2 6 3 2" xfId="22885" xr:uid="{F1008ECE-7735-4947-9A58-7DFFE087D12E}"/>
    <cellStyle name="Normal 3 2 6 3 3" xfId="14444" xr:uid="{C0FB7F60-4761-430F-9B32-0AF129C68F08}"/>
    <cellStyle name="Normal 3 2 6 4" xfId="18667" xr:uid="{284F4034-EB0B-4045-BC86-FF12185EAA9F}"/>
    <cellStyle name="Normal 3 2 6 5" xfId="10193" xr:uid="{421B1806-B5B8-4D2C-94AD-B6B6A962CE70}"/>
    <cellStyle name="Normal 3 2 7" xfId="2057" xr:uid="{00000000-0005-0000-0000-0000DA110000}"/>
    <cellStyle name="Normal 3 2 7 2" xfId="4286" xr:uid="{00000000-0005-0000-0000-0000DB110000}"/>
    <cellStyle name="Normal 3 2 7 2 2" xfId="8508" xr:uid="{00000000-0005-0000-0000-0000DC110000}"/>
    <cellStyle name="Normal 3 2 7 2 2 2" xfId="25443" xr:uid="{B20232DD-8729-4932-928B-4CF2B609BF44}"/>
    <cellStyle name="Normal 3 2 7 2 2 3" xfId="17002" xr:uid="{9B31E508-CE1B-44D5-A6F8-E574E10A59F9}"/>
    <cellStyle name="Normal 3 2 7 2 3" xfId="21225" xr:uid="{2E1AA75F-70B1-4E61-A3F5-9268DA652D0F}"/>
    <cellStyle name="Normal 3 2 7 2 4" xfId="12783" xr:uid="{2E7B91A9-A1BD-46C9-B738-A6D05E82882C}"/>
    <cellStyle name="Normal 3 2 7 3" xfId="6363" xr:uid="{00000000-0005-0000-0000-0000DD110000}"/>
    <cellStyle name="Normal 3 2 7 3 2" xfId="23298" xr:uid="{C6A3A2DB-E407-457F-A9A3-DD23ECCAC875}"/>
    <cellStyle name="Normal 3 2 7 3 3" xfId="14857" xr:uid="{A1B03AA7-BBCF-43A7-B0A2-1A1BE7940725}"/>
    <cellStyle name="Normal 3 2 7 4" xfId="19080" xr:uid="{01B4D42E-57FA-4F48-B431-07E18EA59E66}"/>
    <cellStyle name="Normal 3 2 7 5" xfId="10606" xr:uid="{47F5A6EA-0D00-4E98-95CD-68AF39E7705F}"/>
    <cellStyle name="Normal 3 2 8" xfId="2493" xr:uid="{00000000-0005-0000-0000-0000DE110000}"/>
    <cellStyle name="Normal 3 2 8 2" xfId="6776" xr:uid="{00000000-0005-0000-0000-0000DF110000}"/>
    <cellStyle name="Normal 3 2 8 2 2" xfId="23711" xr:uid="{8406096D-97DC-4C85-A17F-D563806B8999}"/>
    <cellStyle name="Normal 3 2 8 2 3" xfId="15270" xr:uid="{0249F439-BC6B-46BD-A023-F7D0AA2E0876}"/>
    <cellStyle name="Normal 3 2 8 3" xfId="19493" xr:uid="{3E551CC4-075B-48BB-9A64-CA97C69CA08A}"/>
    <cellStyle name="Normal 3 2 8 4" xfId="11041" xr:uid="{426B5B9E-DACB-435E-B164-334392C09689}"/>
    <cellStyle name="Normal 3 2 9" xfId="4710" xr:uid="{00000000-0005-0000-0000-0000E0110000}"/>
    <cellStyle name="Normal 3 2 9 2" xfId="21645" xr:uid="{09A9B232-3BC4-4FA4-A040-AD70C7DE1428}"/>
    <cellStyle name="Normal 3 2 9 3" xfId="13204" xr:uid="{A99F3B7A-9A0F-4003-8518-F2C95292D0B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432" xr:uid="{11494162-C6CB-4C4C-A603-436FFD90507E}"/>
    <cellStyle name="Normal 4 11" xfId="8957" xr:uid="{E0E47BE4-0829-422E-8400-07B9E3EE500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5448" xr:uid="{EEE75CBB-DDCD-4F02-87A8-4FEEBC298F91}"/>
    <cellStyle name="Normal 4 2 2 10 2 2 3" xfId="17007" xr:uid="{44DCE633-422C-4C0C-A5D1-29F24E71755C}"/>
    <cellStyle name="Normal 4 2 2 10 2 3" xfId="21230" xr:uid="{36AFF5C5-EDE3-4C4F-B4B2-371F91C5A7A8}"/>
    <cellStyle name="Normal 4 2 2 10 2 4" xfId="12788" xr:uid="{C440355C-C177-4DB6-B579-4F1F1856E0EA}"/>
    <cellStyle name="Normal 4 2 2 10 3" xfId="6368" xr:uid="{00000000-0005-0000-0000-0000ED110000}"/>
    <cellStyle name="Normal 4 2 2 10 3 2" xfId="23303" xr:uid="{4BF69865-4D0C-4E54-A64F-7F22FE88E381}"/>
    <cellStyle name="Normal 4 2 2 10 3 3" xfId="14862" xr:uid="{BA370C0A-5088-4B8A-8E22-41CB19A5B805}"/>
    <cellStyle name="Normal 4 2 2 10 4" xfId="19085" xr:uid="{0204961C-8533-4E1A-A5D4-2A34782A629F}"/>
    <cellStyle name="Normal 4 2 2 10 5" xfId="10611" xr:uid="{898DEDA2-AC1A-47FB-864B-926518B01C7F}"/>
    <cellStyle name="Normal 4 2 2 11" xfId="2498" xr:uid="{00000000-0005-0000-0000-0000EE110000}"/>
    <cellStyle name="Normal 4 2 2 11 2" xfId="6781" xr:uid="{00000000-0005-0000-0000-0000EF110000}"/>
    <cellStyle name="Normal 4 2 2 11 2 2" xfId="23716" xr:uid="{2F351639-9E90-4FCB-9D81-7B0D4A21B111}"/>
    <cellStyle name="Normal 4 2 2 11 2 3" xfId="15275" xr:uid="{028C70AE-372E-4008-B4D5-85FFE0880805}"/>
    <cellStyle name="Normal 4 2 2 11 3" xfId="19498" xr:uid="{8A7A6FE2-621F-4602-9062-36C9C011693C}"/>
    <cellStyle name="Normal 4 2 2 11 4" xfId="11046" xr:uid="{5918E859-45B6-47E5-A043-80EF5342FA03}"/>
    <cellStyle name="Normal 4 2 2 12" xfId="4716" xr:uid="{00000000-0005-0000-0000-0000F0110000}"/>
    <cellStyle name="Normal 4 2 2 12 2" xfId="21651" xr:uid="{8B3AAF5D-B638-47D2-871C-4438CBA91F43}"/>
    <cellStyle name="Normal 4 2 2 12 3" xfId="13210" xr:uid="{A8A16C5E-8552-4B69-82DF-45F066B423CA}"/>
    <cellStyle name="Normal 4 2 2 13" xfId="17433" xr:uid="{F8EEF266-BB0B-4FB6-9B4E-582D925FBE30}"/>
    <cellStyle name="Normal 4 2 2 14" xfId="8958" xr:uid="{365A9C44-B23F-4160-9952-356E9404EAB7}"/>
    <cellStyle name="Normal 4 2 2 2" xfId="338" xr:uid="{00000000-0005-0000-0000-0000F1110000}"/>
    <cellStyle name="Normal 4 2 2 3" xfId="339" xr:uid="{00000000-0005-0000-0000-0000F2110000}"/>
    <cellStyle name="Normal 4 2 2 3 10" xfId="4717" xr:uid="{00000000-0005-0000-0000-0000F3110000}"/>
    <cellStyle name="Normal 4 2 2 3 10 2" xfId="21652" xr:uid="{EF432F2B-8EBC-4BE5-BE4D-080F5FE4E034}"/>
    <cellStyle name="Normal 4 2 2 3 10 3" xfId="13211" xr:uid="{77D994A0-7533-4419-A75E-E1DA88AA1632}"/>
    <cellStyle name="Normal 4 2 2 3 11" xfId="17434" xr:uid="{059DDC60-3E8E-4BA4-9B87-6B89B40572DF}"/>
    <cellStyle name="Normal 4 2 2 3 12" xfId="8959" xr:uid="{A6DDB6E6-6352-4CAD-A8D4-4ED1099629A4}"/>
    <cellStyle name="Normal 4 2 2 3 2" xfId="340" xr:uid="{00000000-0005-0000-0000-0000F4110000}"/>
    <cellStyle name="Normal 4 2 2 3 2 10" xfId="17435" xr:uid="{965745EC-2968-43BE-8665-3AA3EA3C5A73}"/>
    <cellStyle name="Normal 4 2 2 3 2 11" xfId="8960" xr:uid="{79265A75-B6D2-46C7-99F9-F38804C62C39}"/>
    <cellStyle name="Normal 4 2 2 3 2 2" xfId="341" xr:uid="{00000000-0005-0000-0000-0000F5110000}"/>
    <cellStyle name="Normal 4 2 2 3 2 2 10" xfId="8961" xr:uid="{0EFF3F9B-F594-43C1-92C2-1DB1B22A8983}"/>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4213" xr:uid="{209009F2-CB55-4FD9-A680-EBDC4E240113}"/>
    <cellStyle name="Normal 4 2 2 3 2 2 2 2 2 2 3" xfId="15772" xr:uid="{1D55F90B-D8DA-40C0-9FC3-6C2EE3683E34}"/>
    <cellStyle name="Normal 4 2 2 3 2 2 2 2 2 3" xfId="19995" xr:uid="{5C6586BE-61B8-4DAC-8212-45CAFBA5D142}"/>
    <cellStyle name="Normal 4 2 2 3 2 2 2 2 2 4" xfId="11553" xr:uid="{D3551CB4-F125-49B3-85D0-51C86952B751}"/>
    <cellStyle name="Normal 4 2 2 3 2 2 2 2 3" xfId="5133" xr:uid="{00000000-0005-0000-0000-0000FA110000}"/>
    <cellStyle name="Normal 4 2 2 3 2 2 2 2 3 2" xfId="22068" xr:uid="{4135C344-B724-493C-B4A6-59989C4D189F}"/>
    <cellStyle name="Normal 4 2 2 3 2 2 2 2 3 3" xfId="13627" xr:uid="{4C599528-B2A5-4265-8596-B82501D9ED5F}"/>
    <cellStyle name="Normal 4 2 2 3 2 2 2 2 4" xfId="17850" xr:uid="{BC8D8E92-8D82-4C7B-9514-7FF39E5689D6}"/>
    <cellStyle name="Normal 4 2 2 3 2 2 2 2 5" xfId="9376" xr:uid="{F0942258-7420-4F24-A800-15483FBE101F}"/>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4626" xr:uid="{ABB6DC12-675B-42FC-9E80-06F5E1198461}"/>
    <cellStyle name="Normal 4 2 2 3 2 2 2 3 2 2 3" xfId="16185" xr:uid="{7CEB801B-9B58-470C-B35B-3D04823D1D0C}"/>
    <cellStyle name="Normal 4 2 2 3 2 2 2 3 2 3" xfId="20408" xr:uid="{CBF75124-0EE5-4FF7-8294-A525F90A8A38}"/>
    <cellStyle name="Normal 4 2 2 3 2 2 2 3 2 4" xfId="11966" xr:uid="{141E8282-11CB-4C22-AEBD-06DD9E1C3E5C}"/>
    <cellStyle name="Normal 4 2 2 3 2 2 2 3 3" xfId="5546" xr:uid="{00000000-0005-0000-0000-0000FE110000}"/>
    <cellStyle name="Normal 4 2 2 3 2 2 2 3 3 2" xfId="22481" xr:uid="{C6405585-8E5A-4D7C-B0C5-5A46CAB43FC6}"/>
    <cellStyle name="Normal 4 2 2 3 2 2 2 3 3 3" xfId="14040" xr:uid="{9CA826E7-07C1-4F51-83EE-E4EB3A889B83}"/>
    <cellStyle name="Normal 4 2 2 3 2 2 2 3 4" xfId="18263" xr:uid="{7732AF5C-1D63-4E8E-B0EC-26379D51E21F}"/>
    <cellStyle name="Normal 4 2 2 3 2 2 2 3 5" xfId="9789" xr:uid="{4A9CA692-25EC-43B5-AF95-DC79AA8B5AC6}"/>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5039" xr:uid="{1EE36B30-8DFF-46E4-A493-175F146DDCEF}"/>
    <cellStyle name="Normal 4 2 2 3 2 2 2 4 2 2 3" xfId="16598" xr:uid="{BF99CC8D-38E2-46BE-A06C-CA05B47424FE}"/>
    <cellStyle name="Normal 4 2 2 3 2 2 2 4 2 3" xfId="20821" xr:uid="{292ED030-6799-4400-8129-09482DA0CE42}"/>
    <cellStyle name="Normal 4 2 2 3 2 2 2 4 2 4" xfId="12379" xr:uid="{8085AEF4-2CB4-4C11-8FEC-29DF98244129}"/>
    <cellStyle name="Normal 4 2 2 3 2 2 2 4 3" xfId="5959" xr:uid="{00000000-0005-0000-0000-000002120000}"/>
    <cellStyle name="Normal 4 2 2 3 2 2 2 4 3 2" xfId="22894" xr:uid="{C379BCA1-00CA-4727-AC5A-6DBFA3F92512}"/>
    <cellStyle name="Normal 4 2 2 3 2 2 2 4 3 3" xfId="14453" xr:uid="{A1132F77-4559-4E7C-9C93-E7856E915521}"/>
    <cellStyle name="Normal 4 2 2 3 2 2 2 4 4" xfId="18676" xr:uid="{4D104474-43C8-4179-BC76-7F7FE293255D}"/>
    <cellStyle name="Normal 4 2 2 3 2 2 2 4 5" xfId="10202" xr:uid="{78DD5397-2DC6-439B-8E6B-153A80F7AF5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5452" xr:uid="{F6CC52AD-076C-4BED-A03A-AF545F7F7A07}"/>
    <cellStyle name="Normal 4 2 2 3 2 2 2 5 2 2 3" xfId="17011" xr:uid="{A9794E56-D616-4B00-A9B9-CF58FD4CBAC3}"/>
    <cellStyle name="Normal 4 2 2 3 2 2 2 5 2 3" xfId="21234" xr:uid="{611C7C48-B12F-4163-98B1-1AA563BC24C6}"/>
    <cellStyle name="Normal 4 2 2 3 2 2 2 5 2 4" xfId="12792" xr:uid="{98EDCD36-5F18-494C-8507-4525A84EF25B}"/>
    <cellStyle name="Normal 4 2 2 3 2 2 2 5 3" xfId="6372" xr:uid="{00000000-0005-0000-0000-000006120000}"/>
    <cellStyle name="Normal 4 2 2 3 2 2 2 5 3 2" xfId="23307" xr:uid="{B906DDD7-54DD-4309-8950-5482BCE015C0}"/>
    <cellStyle name="Normal 4 2 2 3 2 2 2 5 3 3" xfId="14866" xr:uid="{793C3A0F-9BF5-4787-A4AB-104EEE7BA54D}"/>
    <cellStyle name="Normal 4 2 2 3 2 2 2 5 4" xfId="19089" xr:uid="{CB00D6E3-4015-493F-B0FF-C1891CE78189}"/>
    <cellStyle name="Normal 4 2 2 3 2 2 2 5 5" xfId="10615" xr:uid="{0BD1D474-131D-4C8E-91BD-485EA6C88F11}"/>
    <cellStyle name="Normal 4 2 2 3 2 2 2 6" xfId="2502" xr:uid="{00000000-0005-0000-0000-000007120000}"/>
    <cellStyle name="Normal 4 2 2 3 2 2 2 6 2" xfId="6785" xr:uid="{00000000-0005-0000-0000-000008120000}"/>
    <cellStyle name="Normal 4 2 2 3 2 2 2 6 2 2" xfId="23720" xr:uid="{851F7167-B5B4-4DFC-ACA1-DD8EFF278606}"/>
    <cellStyle name="Normal 4 2 2 3 2 2 2 6 2 3" xfId="15279" xr:uid="{2DC963C0-92BA-479F-B09D-B3B7E22099A1}"/>
    <cellStyle name="Normal 4 2 2 3 2 2 2 6 3" xfId="19502" xr:uid="{E782F5BD-BE43-422C-B54E-AC005135FDCE}"/>
    <cellStyle name="Normal 4 2 2 3 2 2 2 6 4" xfId="11050" xr:uid="{46FE594F-7142-4953-916E-28003CFACC68}"/>
    <cellStyle name="Normal 4 2 2 3 2 2 2 7" xfId="4720" xr:uid="{00000000-0005-0000-0000-000009120000}"/>
    <cellStyle name="Normal 4 2 2 3 2 2 2 7 2" xfId="21655" xr:uid="{16385312-4A36-41CE-946F-5CE8DBBA1831}"/>
    <cellStyle name="Normal 4 2 2 3 2 2 2 7 3" xfId="13214" xr:uid="{A03F6BEA-F4A2-446A-9931-2904241874EF}"/>
    <cellStyle name="Normal 4 2 2 3 2 2 2 8" xfId="17437" xr:uid="{F1E508D5-913D-42A7-88A8-5D6888BF8B87}"/>
    <cellStyle name="Normal 4 2 2 3 2 2 2 9" xfId="8962" xr:uid="{C4E7A548-A747-420A-9F0F-8CE1B8FA0C21}"/>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4212" xr:uid="{A8A7A9F5-812B-4565-B4BA-C406D5869CC4}"/>
    <cellStyle name="Normal 4 2 2 3 2 2 3 2 2 3" xfId="15771" xr:uid="{88F0D125-0625-42E5-942A-72F045BF61C8}"/>
    <cellStyle name="Normal 4 2 2 3 2 2 3 2 3" xfId="19994" xr:uid="{5CC60D22-9273-497E-925B-290D8F3026E9}"/>
    <cellStyle name="Normal 4 2 2 3 2 2 3 2 4" xfId="11552" xr:uid="{A0D067AF-49C9-47C4-9F79-2B89755549FA}"/>
    <cellStyle name="Normal 4 2 2 3 2 2 3 3" xfId="5132" xr:uid="{00000000-0005-0000-0000-00000D120000}"/>
    <cellStyle name="Normal 4 2 2 3 2 2 3 3 2" xfId="22067" xr:uid="{A4DBC562-C8C7-4A32-ACD4-07E3AF281534}"/>
    <cellStyle name="Normal 4 2 2 3 2 2 3 3 3" xfId="13626" xr:uid="{6534026B-02C2-4951-8828-002743A70525}"/>
    <cellStyle name="Normal 4 2 2 3 2 2 3 4" xfId="17849" xr:uid="{7ED47CB5-DCD6-47D9-8E9E-5AC3BF7F8E2F}"/>
    <cellStyle name="Normal 4 2 2 3 2 2 3 5" xfId="9375" xr:uid="{6476BC08-1951-42B5-94BC-03ED7ADB849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4625" xr:uid="{C6FB1146-551D-4490-9A62-01FAAE9FFC54}"/>
    <cellStyle name="Normal 4 2 2 3 2 2 4 2 2 3" xfId="16184" xr:uid="{9C94C89A-7EA7-454A-AFFC-F9051AA06046}"/>
    <cellStyle name="Normal 4 2 2 3 2 2 4 2 3" xfId="20407" xr:uid="{9ABA254C-FEA8-4453-BED0-C258CF47A2CF}"/>
    <cellStyle name="Normal 4 2 2 3 2 2 4 2 4" xfId="11965" xr:uid="{81003595-E0C8-4060-94EF-79432E9120AA}"/>
    <cellStyle name="Normal 4 2 2 3 2 2 4 3" xfId="5545" xr:uid="{00000000-0005-0000-0000-000011120000}"/>
    <cellStyle name="Normal 4 2 2 3 2 2 4 3 2" xfId="22480" xr:uid="{3E75B247-8421-4A92-A9FD-8D03CF919299}"/>
    <cellStyle name="Normal 4 2 2 3 2 2 4 3 3" xfId="14039" xr:uid="{C967DD30-9DF0-4950-9245-23710DDC5629}"/>
    <cellStyle name="Normal 4 2 2 3 2 2 4 4" xfId="18262" xr:uid="{53254CD8-8EEE-420D-8D36-615B026FFDF5}"/>
    <cellStyle name="Normal 4 2 2 3 2 2 4 5" xfId="9788" xr:uid="{C5A163C3-D5C1-4E9E-B095-389158E6A473}"/>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5038" xr:uid="{AFF0B058-9E1E-47A4-A394-A1D36EE7F540}"/>
    <cellStyle name="Normal 4 2 2 3 2 2 5 2 2 3" xfId="16597" xr:uid="{83AD6DE8-A350-49C3-8C71-A34F4E3FE760}"/>
    <cellStyle name="Normal 4 2 2 3 2 2 5 2 3" xfId="20820" xr:uid="{F3F2136F-C45F-4921-A06B-144A27791773}"/>
    <cellStyle name="Normal 4 2 2 3 2 2 5 2 4" xfId="12378" xr:uid="{5DF82F9D-3479-47D4-9089-6141EF6E72BE}"/>
    <cellStyle name="Normal 4 2 2 3 2 2 5 3" xfId="5958" xr:uid="{00000000-0005-0000-0000-000015120000}"/>
    <cellStyle name="Normal 4 2 2 3 2 2 5 3 2" xfId="22893" xr:uid="{8ED2ED4F-DD83-4307-9308-556D3F3380ED}"/>
    <cellStyle name="Normal 4 2 2 3 2 2 5 3 3" xfId="14452" xr:uid="{89CAB644-AAB7-4038-9771-2B314F375E4A}"/>
    <cellStyle name="Normal 4 2 2 3 2 2 5 4" xfId="18675" xr:uid="{7055EF74-AD15-4D63-B312-54FCF3289D01}"/>
    <cellStyle name="Normal 4 2 2 3 2 2 5 5" xfId="10201" xr:uid="{A9FDED33-8032-427C-BBF0-8D48FD1970A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5451" xr:uid="{F6071C6A-4025-46C9-85ED-031EE45F91DF}"/>
    <cellStyle name="Normal 4 2 2 3 2 2 6 2 2 3" xfId="17010" xr:uid="{F5A25B5E-8D58-4934-A321-98B56BBE7E57}"/>
    <cellStyle name="Normal 4 2 2 3 2 2 6 2 3" xfId="21233" xr:uid="{2A4D4C13-1775-4125-9291-79F6A035DFF4}"/>
    <cellStyle name="Normal 4 2 2 3 2 2 6 2 4" xfId="12791" xr:uid="{60EE465B-9868-4566-AE73-138324FABEAD}"/>
    <cellStyle name="Normal 4 2 2 3 2 2 6 3" xfId="6371" xr:uid="{00000000-0005-0000-0000-000019120000}"/>
    <cellStyle name="Normal 4 2 2 3 2 2 6 3 2" xfId="23306" xr:uid="{15142629-5C92-493F-B31C-276B2B09BEDC}"/>
    <cellStyle name="Normal 4 2 2 3 2 2 6 3 3" xfId="14865" xr:uid="{2720EB1A-3CD9-4096-B4D8-C6242DF6A14E}"/>
    <cellStyle name="Normal 4 2 2 3 2 2 6 4" xfId="19088" xr:uid="{0698C1F6-505A-4FF3-BD91-6E8E5DD2B91E}"/>
    <cellStyle name="Normal 4 2 2 3 2 2 6 5" xfId="10614" xr:uid="{D07F3B9C-FC7A-43B3-A26E-FD0F4D9B915F}"/>
    <cellStyle name="Normal 4 2 2 3 2 2 7" xfId="2501" xr:uid="{00000000-0005-0000-0000-00001A120000}"/>
    <cellStyle name="Normal 4 2 2 3 2 2 7 2" xfId="6784" xr:uid="{00000000-0005-0000-0000-00001B120000}"/>
    <cellStyle name="Normal 4 2 2 3 2 2 7 2 2" xfId="23719" xr:uid="{B24E931B-6C4C-4BA4-B09E-0DB5034BD0D1}"/>
    <cellStyle name="Normal 4 2 2 3 2 2 7 2 3" xfId="15278" xr:uid="{BBE70D68-8696-460C-9F79-E586CA4B919B}"/>
    <cellStyle name="Normal 4 2 2 3 2 2 7 3" xfId="19501" xr:uid="{FCB9D870-348F-4AF1-9290-D93334FB8FC1}"/>
    <cellStyle name="Normal 4 2 2 3 2 2 7 4" xfId="11049" xr:uid="{85AA508F-C77D-4A87-BCC7-EC23684FE4E3}"/>
    <cellStyle name="Normal 4 2 2 3 2 2 8" xfId="4719" xr:uid="{00000000-0005-0000-0000-00001C120000}"/>
    <cellStyle name="Normal 4 2 2 3 2 2 8 2" xfId="21654" xr:uid="{494FA96B-FC6C-44FD-B415-30EE0A18857B}"/>
    <cellStyle name="Normal 4 2 2 3 2 2 8 3" xfId="13213" xr:uid="{98622D1C-F9E0-4DB7-BA8D-624E1A2CCA29}"/>
    <cellStyle name="Normal 4 2 2 3 2 2 9" xfId="17436" xr:uid="{68590DEB-6655-4D31-9FF2-A19653685E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4214" xr:uid="{FFE2E659-7E53-4A1D-9E1E-BD3CCF3152B4}"/>
    <cellStyle name="Normal 4 2 2 3 2 3 2 2 2 3" xfId="15773" xr:uid="{226D570C-2A4D-454E-9C0B-745AA1E6FACA}"/>
    <cellStyle name="Normal 4 2 2 3 2 3 2 2 3" xfId="19996" xr:uid="{B937FA88-38B0-4513-9AA4-77CA740BF8D8}"/>
    <cellStyle name="Normal 4 2 2 3 2 3 2 2 4" xfId="11554" xr:uid="{EB60F6AA-A8C8-4A95-B850-C0841225A7E2}"/>
    <cellStyle name="Normal 4 2 2 3 2 3 2 3" xfId="5134" xr:uid="{00000000-0005-0000-0000-000021120000}"/>
    <cellStyle name="Normal 4 2 2 3 2 3 2 3 2" xfId="22069" xr:uid="{86EF55ED-DE9B-40D6-AC0D-5BF312438006}"/>
    <cellStyle name="Normal 4 2 2 3 2 3 2 3 3" xfId="13628" xr:uid="{83E4802E-8D58-4024-A86E-BF840CD02D0E}"/>
    <cellStyle name="Normal 4 2 2 3 2 3 2 4" xfId="17851" xr:uid="{241F2894-5ACD-4270-BAF8-408B9401DCB0}"/>
    <cellStyle name="Normal 4 2 2 3 2 3 2 5" xfId="9377" xr:uid="{FA258690-4E9F-459E-AB52-2C8CFF594579}"/>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4627" xr:uid="{0055E36E-56FF-47E9-BE66-C133EFF994FA}"/>
    <cellStyle name="Normal 4 2 2 3 2 3 3 2 2 3" xfId="16186" xr:uid="{60086A74-D9C4-49AD-A937-1C11CBD0BB40}"/>
    <cellStyle name="Normal 4 2 2 3 2 3 3 2 3" xfId="20409" xr:uid="{C1E52114-ED0C-4992-8AB6-D568A4632547}"/>
    <cellStyle name="Normal 4 2 2 3 2 3 3 2 4" xfId="11967" xr:uid="{CE4F5F4A-7388-45F4-973E-9E9074BBCF3D}"/>
    <cellStyle name="Normal 4 2 2 3 2 3 3 3" xfId="5547" xr:uid="{00000000-0005-0000-0000-000025120000}"/>
    <cellStyle name="Normal 4 2 2 3 2 3 3 3 2" xfId="22482" xr:uid="{F806C255-11C7-468E-9925-5E7234E1F252}"/>
    <cellStyle name="Normal 4 2 2 3 2 3 3 3 3" xfId="14041" xr:uid="{491EFBBA-169B-48AF-8EE7-D548BDC35C46}"/>
    <cellStyle name="Normal 4 2 2 3 2 3 3 4" xfId="18264" xr:uid="{7BEA2199-99DE-450B-B4B6-5A2B25215D8C}"/>
    <cellStyle name="Normal 4 2 2 3 2 3 3 5" xfId="9790" xr:uid="{E10B0585-625D-4266-BB56-D44162BE2A2C}"/>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5040" xr:uid="{CFB63776-6D33-40DD-BD34-46E1D9145ECC}"/>
    <cellStyle name="Normal 4 2 2 3 2 3 4 2 2 3" xfId="16599" xr:uid="{18F01425-6AA4-447C-A16D-C592370944FF}"/>
    <cellStyle name="Normal 4 2 2 3 2 3 4 2 3" xfId="20822" xr:uid="{F9E45CB8-0505-4F39-96CD-1AABD0805D1A}"/>
    <cellStyle name="Normal 4 2 2 3 2 3 4 2 4" xfId="12380" xr:uid="{6D569F3A-7BEA-4086-86A4-2552ADB59B05}"/>
    <cellStyle name="Normal 4 2 2 3 2 3 4 3" xfId="5960" xr:uid="{00000000-0005-0000-0000-000029120000}"/>
    <cellStyle name="Normal 4 2 2 3 2 3 4 3 2" xfId="22895" xr:uid="{6685B37B-A91A-4AD3-AD23-2CAFAC54385A}"/>
    <cellStyle name="Normal 4 2 2 3 2 3 4 3 3" xfId="14454" xr:uid="{80681469-88EC-4D65-8C01-26CFC8372289}"/>
    <cellStyle name="Normal 4 2 2 3 2 3 4 4" xfId="18677" xr:uid="{EC4CE761-D808-44A9-8EDD-23588645B318}"/>
    <cellStyle name="Normal 4 2 2 3 2 3 4 5" xfId="10203" xr:uid="{0440B13F-866F-4421-B9BF-27AFC34A7EEA}"/>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5453" xr:uid="{52F61E5B-6811-4495-BC9C-0193F50190CE}"/>
    <cellStyle name="Normal 4 2 2 3 2 3 5 2 2 3" xfId="17012" xr:uid="{57AB5C17-ADB8-49B4-B8AA-84508E51B269}"/>
    <cellStyle name="Normal 4 2 2 3 2 3 5 2 3" xfId="21235" xr:uid="{6D9AFC4D-98CC-4885-B7B3-7082CD741CD2}"/>
    <cellStyle name="Normal 4 2 2 3 2 3 5 2 4" xfId="12793" xr:uid="{BA73766F-6D68-47A2-B994-86A7055EF710}"/>
    <cellStyle name="Normal 4 2 2 3 2 3 5 3" xfId="6373" xr:uid="{00000000-0005-0000-0000-00002D120000}"/>
    <cellStyle name="Normal 4 2 2 3 2 3 5 3 2" xfId="23308" xr:uid="{440ECDC2-4578-490D-8896-0AAE51AFAE1F}"/>
    <cellStyle name="Normal 4 2 2 3 2 3 5 3 3" xfId="14867" xr:uid="{F04042FA-E1A2-496F-9A28-C3A6174093C0}"/>
    <cellStyle name="Normal 4 2 2 3 2 3 5 4" xfId="19090" xr:uid="{83D49DAD-BDD7-4015-9D0A-54A238A699D8}"/>
    <cellStyle name="Normal 4 2 2 3 2 3 5 5" xfId="10616" xr:uid="{A99C91DA-E6E9-4CEC-B171-CA369BC13E12}"/>
    <cellStyle name="Normal 4 2 2 3 2 3 6" xfId="2503" xr:uid="{00000000-0005-0000-0000-00002E120000}"/>
    <cellStyle name="Normal 4 2 2 3 2 3 6 2" xfId="6786" xr:uid="{00000000-0005-0000-0000-00002F120000}"/>
    <cellStyle name="Normal 4 2 2 3 2 3 6 2 2" xfId="23721" xr:uid="{9DDE9B0D-9634-43E3-92A5-856F6B3B6BC4}"/>
    <cellStyle name="Normal 4 2 2 3 2 3 6 2 3" xfId="15280" xr:uid="{032230C0-4602-4824-8661-16B06FA47749}"/>
    <cellStyle name="Normal 4 2 2 3 2 3 6 3" xfId="19503" xr:uid="{AFC58DA9-A57B-4A7A-B2A8-28B7B216ADD7}"/>
    <cellStyle name="Normal 4 2 2 3 2 3 6 4" xfId="11051" xr:uid="{93BA969D-7C6C-46FE-B5A6-F9FBBFD8D26D}"/>
    <cellStyle name="Normal 4 2 2 3 2 3 7" xfId="4721" xr:uid="{00000000-0005-0000-0000-000030120000}"/>
    <cellStyle name="Normal 4 2 2 3 2 3 7 2" xfId="21656" xr:uid="{C30C4145-6BB5-4C26-A0BB-EFBADC3471D2}"/>
    <cellStyle name="Normal 4 2 2 3 2 3 7 3" xfId="13215" xr:uid="{0259C44F-0DFA-45B9-B59A-7B55F712FAB2}"/>
    <cellStyle name="Normal 4 2 2 3 2 3 8" xfId="17438" xr:uid="{C7D25F0A-92B1-4B40-9BA8-C594B23BCB19}"/>
    <cellStyle name="Normal 4 2 2 3 2 3 9" xfId="8963" xr:uid="{BE377F1C-27C3-4F4F-94B7-DCADE9B6F97F}"/>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4211" xr:uid="{F0F7EBF4-FB6C-40DF-BC8C-B163EF8BCCB4}"/>
    <cellStyle name="Normal 4 2 2 3 2 4 2 2 3" xfId="15770" xr:uid="{88F76B1F-0AC3-4102-8A9A-A72CE445623A}"/>
    <cellStyle name="Normal 4 2 2 3 2 4 2 3" xfId="19993" xr:uid="{97921734-A6EA-44A3-9FAB-BDA45B3A7820}"/>
    <cellStyle name="Normal 4 2 2 3 2 4 2 4" xfId="11551" xr:uid="{6823353A-CE1B-4354-B879-48CC94811527}"/>
    <cellStyle name="Normal 4 2 2 3 2 4 3" xfId="5131" xr:uid="{00000000-0005-0000-0000-000034120000}"/>
    <cellStyle name="Normal 4 2 2 3 2 4 3 2" xfId="22066" xr:uid="{19677127-AB1D-4528-9945-8E177C26D847}"/>
    <cellStyle name="Normal 4 2 2 3 2 4 3 3" xfId="13625" xr:uid="{E18E8F17-B88D-4040-AD69-46276F0D42E5}"/>
    <cellStyle name="Normal 4 2 2 3 2 4 4" xfId="17848" xr:uid="{C433E000-F07A-4B5A-AAD7-114F53B2B6EE}"/>
    <cellStyle name="Normal 4 2 2 3 2 4 5" xfId="9374" xr:uid="{028E298F-F7CA-4857-A833-9EA1BA058104}"/>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4624" xr:uid="{2440DC6D-77A5-4E7A-99FA-5853B719A483}"/>
    <cellStyle name="Normal 4 2 2 3 2 5 2 2 3" xfId="16183" xr:uid="{A2665D72-7D23-4C06-9ED8-670F9A231A6D}"/>
    <cellStyle name="Normal 4 2 2 3 2 5 2 3" xfId="20406" xr:uid="{149F84A7-CAD8-4695-8483-0059453214CC}"/>
    <cellStyle name="Normal 4 2 2 3 2 5 2 4" xfId="11964" xr:uid="{0D61DD38-531F-44C8-8801-646405316845}"/>
    <cellStyle name="Normal 4 2 2 3 2 5 3" xfId="5544" xr:uid="{00000000-0005-0000-0000-000038120000}"/>
    <cellStyle name="Normal 4 2 2 3 2 5 3 2" xfId="22479" xr:uid="{0FB46595-11BB-4D08-A399-C62E1C4AAC8D}"/>
    <cellStyle name="Normal 4 2 2 3 2 5 3 3" xfId="14038" xr:uid="{D47E927F-6A3A-4703-87F8-F80889ACEFE3}"/>
    <cellStyle name="Normal 4 2 2 3 2 5 4" xfId="18261" xr:uid="{2FAAA3D7-5077-42CD-A1D7-FBF932573879}"/>
    <cellStyle name="Normal 4 2 2 3 2 5 5" xfId="9787" xr:uid="{31DCCF94-4BD3-44DC-BEAA-BFC061BCACA2}"/>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5037" xr:uid="{99EA7966-FFC0-42AF-A20D-15B00DF703FF}"/>
    <cellStyle name="Normal 4 2 2 3 2 6 2 2 3" xfId="16596" xr:uid="{315AACB7-AFB7-48B7-90AB-98FF299058DA}"/>
    <cellStyle name="Normal 4 2 2 3 2 6 2 3" xfId="20819" xr:uid="{3164ED00-D9FC-4714-A412-9D687FD24072}"/>
    <cellStyle name="Normal 4 2 2 3 2 6 2 4" xfId="12377" xr:uid="{64E7D9F5-9151-4552-879F-B959E455B3D4}"/>
    <cellStyle name="Normal 4 2 2 3 2 6 3" xfId="5957" xr:uid="{00000000-0005-0000-0000-00003C120000}"/>
    <cellStyle name="Normal 4 2 2 3 2 6 3 2" xfId="22892" xr:uid="{DE2D2296-5B4E-4A76-B6A6-D1EF7F057513}"/>
    <cellStyle name="Normal 4 2 2 3 2 6 3 3" xfId="14451" xr:uid="{5DECF01B-DD6C-4BF5-B5B7-9A0FB49193D0}"/>
    <cellStyle name="Normal 4 2 2 3 2 6 4" xfId="18674" xr:uid="{E2E1CE44-298E-4C00-9F1F-B90919B0363E}"/>
    <cellStyle name="Normal 4 2 2 3 2 6 5" xfId="10200" xr:uid="{FA7EC698-5FAF-4EEE-A386-E53BEC36F469}"/>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5450" xr:uid="{47336585-2084-4506-944C-681CF5FD929A}"/>
    <cellStyle name="Normal 4 2 2 3 2 7 2 2 3" xfId="17009" xr:uid="{973A4BAA-C39C-473C-9056-119E01E5A808}"/>
    <cellStyle name="Normal 4 2 2 3 2 7 2 3" xfId="21232" xr:uid="{37E431A2-EE16-4677-8529-BAAA16071462}"/>
    <cellStyle name="Normal 4 2 2 3 2 7 2 4" xfId="12790" xr:uid="{D705C537-7371-4F8B-9E29-0B0D40A52053}"/>
    <cellStyle name="Normal 4 2 2 3 2 7 3" xfId="6370" xr:uid="{00000000-0005-0000-0000-000040120000}"/>
    <cellStyle name="Normal 4 2 2 3 2 7 3 2" xfId="23305" xr:uid="{21BEA801-249D-4005-9C51-8625DA469CAE}"/>
    <cellStyle name="Normal 4 2 2 3 2 7 3 3" xfId="14864" xr:uid="{C4BD1F00-A58D-4A3D-B400-5B21ED5A3FEE}"/>
    <cellStyle name="Normal 4 2 2 3 2 7 4" xfId="19087" xr:uid="{6AD6EF50-BFA6-4D00-B9B4-A10DD5C77CFD}"/>
    <cellStyle name="Normal 4 2 2 3 2 7 5" xfId="10613" xr:uid="{43176152-1637-4D2A-BF01-0F7A8C074F0A}"/>
    <cellStyle name="Normal 4 2 2 3 2 8" xfId="2500" xr:uid="{00000000-0005-0000-0000-000041120000}"/>
    <cellStyle name="Normal 4 2 2 3 2 8 2" xfId="6783" xr:uid="{00000000-0005-0000-0000-000042120000}"/>
    <cellStyle name="Normal 4 2 2 3 2 8 2 2" xfId="23718" xr:uid="{12D29AB6-BFD0-4D3D-8232-5BA5B7168AED}"/>
    <cellStyle name="Normal 4 2 2 3 2 8 2 3" xfId="15277" xr:uid="{194C407E-45FD-4280-B78A-E50B3992ACEB}"/>
    <cellStyle name="Normal 4 2 2 3 2 8 3" xfId="19500" xr:uid="{62CF0CED-E814-46A0-B39E-553DB8948594}"/>
    <cellStyle name="Normal 4 2 2 3 2 8 4" xfId="11048" xr:uid="{CDBDAA4D-5AE3-40EA-94C8-AD8244196DFD}"/>
    <cellStyle name="Normal 4 2 2 3 2 9" xfId="4718" xr:uid="{00000000-0005-0000-0000-000043120000}"/>
    <cellStyle name="Normal 4 2 2 3 2 9 2" xfId="21653" xr:uid="{9D63CFD1-27A3-4ED9-BB18-EB4E4F2EB66E}"/>
    <cellStyle name="Normal 4 2 2 3 2 9 3" xfId="13212" xr:uid="{A3A5893D-B635-40EE-922E-665EAFD25FA0}"/>
    <cellStyle name="Normal 4 2 2 3 3" xfId="344" xr:uid="{00000000-0005-0000-0000-000044120000}"/>
    <cellStyle name="Normal 4 2 2 3 3 10" xfId="8964" xr:uid="{FC0108C7-C198-4D1C-9E3A-89F0D346B156}"/>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4216" xr:uid="{E186D26B-CA9B-4C9C-AFA1-1FB812DA12F5}"/>
    <cellStyle name="Normal 4 2 2 3 3 2 2 2 2 3" xfId="15775" xr:uid="{6F138EC8-0F11-4FE3-8CC2-6CBC91DED484}"/>
    <cellStyle name="Normal 4 2 2 3 3 2 2 2 3" xfId="19998" xr:uid="{86E17A17-FD15-41E1-8E1F-CE953863061A}"/>
    <cellStyle name="Normal 4 2 2 3 3 2 2 2 4" xfId="11556" xr:uid="{FD1361F5-34E5-4CA8-98F3-5BDC3BDBA371}"/>
    <cellStyle name="Normal 4 2 2 3 3 2 2 3" xfId="5136" xr:uid="{00000000-0005-0000-0000-000049120000}"/>
    <cellStyle name="Normal 4 2 2 3 3 2 2 3 2" xfId="22071" xr:uid="{E70A9F05-A300-4820-BC1A-A185F422E89D}"/>
    <cellStyle name="Normal 4 2 2 3 3 2 2 3 3" xfId="13630" xr:uid="{5A86C152-F516-4F5E-B11E-44DF43BA4C0B}"/>
    <cellStyle name="Normal 4 2 2 3 3 2 2 4" xfId="17853" xr:uid="{A28D3711-499E-4E5A-BADB-83E40C23ABDF}"/>
    <cellStyle name="Normal 4 2 2 3 3 2 2 5" xfId="9379" xr:uid="{5FFDE0D4-48F8-4B65-B732-2C0C0F18DF31}"/>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4629" xr:uid="{34729E30-6708-4EF4-A2CE-8F3A7BA1B6E0}"/>
    <cellStyle name="Normal 4 2 2 3 3 2 3 2 2 3" xfId="16188" xr:uid="{A4222B72-3865-458D-9E8F-CF1F2EF5D9FD}"/>
    <cellStyle name="Normal 4 2 2 3 3 2 3 2 3" xfId="20411" xr:uid="{B047B9AC-90FC-43D0-A8CB-394E90537AFC}"/>
    <cellStyle name="Normal 4 2 2 3 3 2 3 2 4" xfId="11969" xr:uid="{388F4E3F-3707-476A-80CD-72BD711BAE40}"/>
    <cellStyle name="Normal 4 2 2 3 3 2 3 3" xfId="5549" xr:uid="{00000000-0005-0000-0000-00004D120000}"/>
    <cellStyle name="Normal 4 2 2 3 3 2 3 3 2" xfId="22484" xr:uid="{3A7030A6-46E0-487C-990F-96042DE4DC1D}"/>
    <cellStyle name="Normal 4 2 2 3 3 2 3 3 3" xfId="14043" xr:uid="{5F73022C-1B86-4CAE-B482-ED978D20A9E2}"/>
    <cellStyle name="Normal 4 2 2 3 3 2 3 4" xfId="18266" xr:uid="{22335441-3CC4-4ECD-A112-2400B2920BB3}"/>
    <cellStyle name="Normal 4 2 2 3 3 2 3 5" xfId="9792" xr:uid="{ECC86489-C852-4933-B68A-56C10A70367F}"/>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5042" xr:uid="{3CC18A2E-7C17-490B-97E2-57C7BB0FB42F}"/>
    <cellStyle name="Normal 4 2 2 3 3 2 4 2 2 3" xfId="16601" xr:uid="{084C4895-8D1F-4AE0-992E-CF93A363B973}"/>
    <cellStyle name="Normal 4 2 2 3 3 2 4 2 3" xfId="20824" xr:uid="{F87E279C-6BDE-43D3-B3AE-778CE1A5DBC0}"/>
    <cellStyle name="Normal 4 2 2 3 3 2 4 2 4" xfId="12382" xr:uid="{46776F2E-23A6-4C64-A574-4EE1BC4754DD}"/>
    <cellStyle name="Normal 4 2 2 3 3 2 4 3" xfId="5962" xr:uid="{00000000-0005-0000-0000-000051120000}"/>
    <cellStyle name="Normal 4 2 2 3 3 2 4 3 2" xfId="22897" xr:uid="{245B2124-9590-41A1-973A-EB49874C44A4}"/>
    <cellStyle name="Normal 4 2 2 3 3 2 4 3 3" xfId="14456" xr:uid="{0CC7F16A-5448-4527-AACE-A21F6395ACEF}"/>
    <cellStyle name="Normal 4 2 2 3 3 2 4 4" xfId="18679" xr:uid="{D641888B-A09B-4E28-97C5-55393B8D50CB}"/>
    <cellStyle name="Normal 4 2 2 3 3 2 4 5" xfId="10205" xr:uid="{4A776A71-B8B9-47A2-8741-4DCB3B038D9D}"/>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5455" xr:uid="{C8B31F82-0AB9-4C78-8271-7AC44507C75B}"/>
    <cellStyle name="Normal 4 2 2 3 3 2 5 2 2 3" xfId="17014" xr:uid="{A97F4E88-98F9-4A00-8C9D-E236581FE0DD}"/>
    <cellStyle name="Normal 4 2 2 3 3 2 5 2 3" xfId="21237" xr:uid="{92346285-746D-4B73-9E3A-3CBFE0316F65}"/>
    <cellStyle name="Normal 4 2 2 3 3 2 5 2 4" xfId="12795" xr:uid="{CF3AC245-EE3A-48C4-A604-9721320D0B81}"/>
    <cellStyle name="Normal 4 2 2 3 3 2 5 3" xfId="6375" xr:uid="{00000000-0005-0000-0000-000055120000}"/>
    <cellStyle name="Normal 4 2 2 3 3 2 5 3 2" xfId="23310" xr:uid="{B192C9BB-9B5C-4D49-8536-83C81E400AAD}"/>
    <cellStyle name="Normal 4 2 2 3 3 2 5 3 3" xfId="14869" xr:uid="{F568175F-E8A6-4FB0-8CB8-9D1120327F6B}"/>
    <cellStyle name="Normal 4 2 2 3 3 2 5 4" xfId="19092" xr:uid="{0207475C-1A66-4A47-BA63-A17CE5F590FB}"/>
    <cellStyle name="Normal 4 2 2 3 3 2 5 5" xfId="10618" xr:uid="{31574FF5-7C09-4F8A-A700-130DF030B967}"/>
    <cellStyle name="Normal 4 2 2 3 3 2 6" xfId="2505" xr:uid="{00000000-0005-0000-0000-000056120000}"/>
    <cellStyle name="Normal 4 2 2 3 3 2 6 2" xfId="6788" xr:uid="{00000000-0005-0000-0000-000057120000}"/>
    <cellStyle name="Normal 4 2 2 3 3 2 6 2 2" xfId="23723" xr:uid="{5C3FC887-F3B1-4DFD-9A05-BA23E5247727}"/>
    <cellStyle name="Normal 4 2 2 3 3 2 6 2 3" xfId="15282" xr:uid="{88054621-54CA-4775-A9EF-9BEBAA5FDEF8}"/>
    <cellStyle name="Normal 4 2 2 3 3 2 6 3" xfId="19505" xr:uid="{5A825581-1DC9-47A5-9074-D926DC4087B9}"/>
    <cellStyle name="Normal 4 2 2 3 3 2 6 4" xfId="11053" xr:uid="{C5956FFF-BC16-4D66-AD89-456DA167CA98}"/>
    <cellStyle name="Normal 4 2 2 3 3 2 7" xfId="4723" xr:uid="{00000000-0005-0000-0000-000058120000}"/>
    <cellStyle name="Normal 4 2 2 3 3 2 7 2" xfId="21658" xr:uid="{AC0BFC56-2C90-4FBD-955D-FE1663EB5B90}"/>
    <cellStyle name="Normal 4 2 2 3 3 2 7 3" xfId="13217" xr:uid="{A3229C29-509F-42B6-A260-02FA3ED8ED52}"/>
    <cellStyle name="Normal 4 2 2 3 3 2 8" xfId="17440" xr:uid="{C06F8B66-F7C0-4C03-9F2D-9DCF09840811}"/>
    <cellStyle name="Normal 4 2 2 3 3 2 9" xfId="8965" xr:uid="{8BD40F83-7482-45DD-A6B1-03B41FB0970D}"/>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4215" xr:uid="{8B18DE41-8058-4F24-A28C-70336B92E6F2}"/>
    <cellStyle name="Normal 4 2 2 3 3 3 2 2 3" xfId="15774" xr:uid="{B96E6B40-798A-432F-A3CB-2BA9523DC4B5}"/>
    <cellStyle name="Normal 4 2 2 3 3 3 2 3" xfId="19997" xr:uid="{FBA24B64-9AFD-48E7-86FF-C252752B5D2F}"/>
    <cellStyle name="Normal 4 2 2 3 3 3 2 4" xfId="11555" xr:uid="{EC737347-195D-4223-A322-9A8E3F35993E}"/>
    <cellStyle name="Normal 4 2 2 3 3 3 3" xfId="5135" xr:uid="{00000000-0005-0000-0000-00005C120000}"/>
    <cellStyle name="Normal 4 2 2 3 3 3 3 2" xfId="22070" xr:uid="{64E648DB-1457-4549-9EF8-3765A774C666}"/>
    <cellStyle name="Normal 4 2 2 3 3 3 3 3" xfId="13629" xr:uid="{E03C39FA-18D1-4613-886A-3F42B36B3336}"/>
    <cellStyle name="Normal 4 2 2 3 3 3 4" xfId="17852" xr:uid="{D200EFE8-A9EA-4258-A772-C3ACDB0230C2}"/>
    <cellStyle name="Normal 4 2 2 3 3 3 5" xfId="9378" xr:uid="{7958B254-D778-489B-9510-535EA68844E4}"/>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4628" xr:uid="{72CDBF45-0738-4557-B9CD-C95687068310}"/>
    <cellStyle name="Normal 4 2 2 3 3 4 2 2 3" xfId="16187" xr:uid="{CF18AF37-771D-49EB-9EC8-3DF94A83DC68}"/>
    <cellStyle name="Normal 4 2 2 3 3 4 2 3" xfId="20410" xr:uid="{09B0FF45-1464-4D66-AE58-4EEFB309E97C}"/>
    <cellStyle name="Normal 4 2 2 3 3 4 2 4" xfId="11968" xr:uid="{83385E33-E953-4600-898F-20A0F5CBEDBA}"/>
    <cellStyle name="Normal 4 2 2 3 3 4 3" xfId="5548" xr:uid="{00000000-0005-0000-0000-000060120000}"/>
    <cellStyle name="Normal 4 2 2 3 3 4 3 2" xfId="22483" xr:uid="{1B57ECB8-865A-47DD-AB7B-DA2C86C191D5}"/>
    <cellStyle name="Normal 4 2 2 3 3 4 3 3" xfId="14042" xr:uid="{693F9D94-4773-40AA-B12E-0FFDE3EAC62A}"/>
    <cellStyle name="Normal 4 2 2 3 3 4 4" xfId="18265" xr:uid="{0E598453-D100-418F-B4E6-B8432DD2DCA7}"/>
    <cellStyle name="Normal 4 2 2 3 3 4 5" xfId="9791" xr:uid="{62945153-1B0A-4794-83F4-085EA31FDF66}"/>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5041" xr:uid="{BDC70B91-B41F-4153-B913-8A07946E09CF}"/>
    <cellStyle name="Normal 4 2 2 3 3 5 2 2 3" xfId="16600" xr:uid="{8D3314C7-1075-4BC2-8789-F62D3C1A45D7}"/>
    <cellStyle name="Normal 4 2 2 3 3 5 2 3" xfId="20823" xr:uid="{C44783E5-1C3D-4DCC-B8C7-257BB539A880}"/>
    <cellStyle name="Normal 4 2 2 3 3 5 2 4" xfId="12381" xr:uid="{76352AF9-3A40-4A85-9594-EC24D3BF5B67}"/>
    <cellStyle name="Normal 4 2 2 3 3 5 3" xfId="5961" xr:uid="{00000000-0005-0000-0000-000064120000}"/>
    <cellStyle name="Normal 4 2 2 3 3 5 3 2" xfId="22896" xr:uid="{D38DCC70-6ECA-43AC-B391-805B45EC48E5}"/>
    <cellStyle name="Normal 4 2 2 3 3 5 3 3" xfId="14455" xr:uid="{70CFC450-02CB-49A0-ABB7-FA7A183A47A1}"/>
    <cellStyle name="Normal 4 2 2 3 3 5 4" xfId="18678" xr:uid="{8A504528-4610-45A7-A988-BEA30C57181D}"/>
    <cellStyle name="Normal 4 2 2 3 3 5 5" xfId="10204" xr:uid="{F3A0BF0F-4825-4F2C-9002-28997F623B98}"/>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5454" xr:uid="{FAA17E67-1CDC-4423-B427-753D970ACE09}"/>
    <cellStyle name="Normal 4 2 2 3 3 6 2 2 3" xfId="17013" xr:uid="{6ADA122D-5570-41C7-BB15-3141601C7F53}"/>
    <cellStyle name="Normal 4 2 2 3 3 6 2 3" xfId="21236" xr:uid="{E03D6CAD-DD23-4475-902F-35B161411056}"/>
    <cellStyle name="Normal 4 2 2 3 3 6 2 4" xfId="12794" xr:uid="{D04E8892-5F35-4D44-A921-1ED89ADFB039}"/>
    <cellStyle name="Normal 4 2 2 3 3 6 3" xfId="6374" xr:uid="{00000000-0005-0000-0000-000068120000}"/>
    <cellStyle name="Normal 4 2 2 3 3 6 3 2" xfId="23309" xr:uid="{8CD2990C-C2B7-4941-B3D4-97FC14A32BAF}"/>
    <cellStyle name="Normal 4 2 2 3 3 6 3 3" xfId="14868" xr:uid="{E92D36FF-EDE2-4209-B688-BE6E9152FA65}"/>
    <cellStyle name="Normal 4 2 2 3 3 6 4" xfId="19091" xr:uid="{E465F476-E418-4AD4-A240-3F15F52DB982}"/>
    <cellStyle name="Normal 4 2 2 3 3 6 5" xfId="10617" xr:uid="{AE7B22BD-78AE-4C14-8ED1-406742B99059}"/>
    <cellStyle name="Normal 4 2 2 3 3 7" xfId="2504" xr:uid="{00000000-0005-0000-0000-000069120000}"/>
    <cellStyle name="Normal 4 2 2 3 3 7 2" xfId="6787" xr:uid="{00000000-0005-0000-0000-00006A120000}"/>
    <cellStyle name="Normal 4 2 2 3 3 7 2 2" xfId="23722" xr:uid="{A0BD045B-AD50-4F9E-9973-17AFE1222600}"/>
    <cellStyle name="Normal 4 2 2 3 3 7 2 3" xfId="15281" xr:uid="{F79C9FB3-764F-475A-8B2C-DFF6D17F3B22}"/>
    <cellStyle name="Normal 4 2 2 3 3 7 3" xfId="19504" xr:uid="{ADF871A7-4080-45BE-AF22-DD6E8A2282B9}"/>
    <cellStyle name="Normal 4 2 2 3 3 7 4" xfId="11052" xr:uid="{D09150B6-6217-444B-A163-3F990F503A06}"/>
    <cellStyle name="Normal 4 2 2 3 3 8" xfId="4722" xr:uid="{00000000-0005-0000-0000-00006B120000}"/>
    <cellStyle name="Normal 4 2 2 3 3 8 2" xfId="21657" xr:uid="{E982FC5A-B6C0-45C7-AD9E-B71C8C79AE88}"/>
    <cellStyle name="Normal 4 2 2 3 3 8 3" xfId="13216" xr:uid="{02953D08-4948-4BB9-837D-8E06D9369B9C}"/>
    <cellStyle name="Normal 4 2 2 3 3 9" xfId="17439" xr:uid="{39FE530F-1DEE-4B00-8C98-812079DCBB4B}"/>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4217" xr:uid="{4D206342-D712-4A77-B560-BE47ACBAA89D}"/>
    <cellStyle name="Normal 4 2 2 3 4 2 2 2 3" xfId="15776" xr:uid="{FBB508C0-4DC9-43D7-8B32-149D1E6FEE01}"/>
    <cellStyle name="Normal 4 2 2 3 4 2 2 3" xfId="19999" xr:uid="{7338BD20-44EA-4B45-B6AE-6679AFB93423}"/>
    <cellStyle name="Normal 4 2 2 3 4 2 2 4" xfId="11557" xr:uid="{BF213881-3926-4E08-9CB7-5401FE6CB505}"/>
    <cellStyle name="Normal 4 2 2 3 4 2 3" xfId="5137" xr:uid="{00000000-0005-0000-0000-000070120000}"/>
    <cellStyle name="Normal 4 2 2 3 4 2 3 2" xfId="22072" xr:uid="{679D84B8-A1CB-4209-BE8D-E3F523EA61EF}"/>
    <cellStyle name="Normal 4 2 2 3 4 2 3 3" xfId="13631" xr:uid="{47AA8399-979B-43BE-8362-1B54DF1701D0}"/>
    <cellStyle name="Normal 4 2 2 3 4 2 4" xfId="17854" xr:uid="{228F244A-0BB9-4660-9BA1-8FC3F6C01BCD}"/>
    <cellStyle name="Normal 4 2 2 3 4 2 5" xfId="9380" xr:uid="{3A7BF729-00EC-4670-A956-C0C179C0FD9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4630" xr:uid="{7DF14B1B-EBD0-463D-BBD0-2E520082A010}"/>
    <cellStyle name="Normal 4 2 2 3 4 3 2 2 3" xfId="16189" xr:uid="{8BF6E833-7595-40F5-96B6-913BE6B72CC8}"/>
    <cellStyle name="Normal 4 2 2 3 4 3 2 3" xfId="20412" xr:uid="{95878EF0-ED2D-4C55-9D7A-7827B71275F8}"/>
    <cellStyle name="Normal 4 2 2 3 4 3 2 4" xfId="11970" xr:uid="{5DCB163B-CB33-47F1-8A43-B7BA6B1E3587}"/>
    <cellStyle name="Normal 4 2 2 3 4 3 3" xfId="5550" xr:uid="{00000000-0005-0000-0000-000074120000}"/>
    <cellStyle name="Normal 4 2 2 3 4 3 3 2" xfId="22485" xr:uid="{25E702C6-9502-4C2B-808B-30E0ACFB3678}"/>
    <cellStyle name="Normal 4 2 2 3 4 3 3 3" xfId="14044" xr:uid="{4B540368-93CC-461C-A4DF-12C15524A1DC}"/>
    <cellStyle name="Normal 4 2 2 3 4 3 4" xfId="18267" xr:uid="{2FD2BBCC-4F93-450F-A03A-A576E33A473C}"/>
    <cellStyle name="Normal 4 2 2 3 4 3 5" xfId="9793" xr:uid="{4DE8FBBB-2AC5-4AB0-AB0F-00458182CB1D}"/>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5043" xr:uid="{7441A53B-6605-4F4C-BB50-1B1464EA2AE3}"/>
    <cellStyle name="Normal 4 2 2 3 4 4 2 2 3" xfId="16602" xr:uid="{10525055-63D9-4196-9E0F-B09EF4993930}"/>
    <cellStyle name="Normal 4 2 2 3 4 4 2 3" xfId="20825" xr:uid="{5CB23693-BA4E-470D-95BC-37F8DEB397A0}"/>
    <cellStyle name="Normal 4 2 2 3 4 4 2 4" xfId="12383" xr:uid="{DF48D316-095E-40B2-80CF-2EBABE3942CC}"/>
    <cellStyle name="Normal 4 2 2 3 4 4 3" xfId="5963" xr:uid="{00000000-0005-0000-0000-000078120000}"/>
    <cellStyle name="Normal 4 2 2 3 4 4 3 2" xfId="22898" xr:uid="{B3BBEC99-EA44-4AD7-85BA-A5D12DCBD894}"/>
    <cellStyle name="Normal 4 2 2 3 4 4 3 3" xfId="14457" xr:uid="{D79BFC5A-3EDA-4302-ADAB-A88D098C4A64}"/>
    <cellStyle name="Normal 4 2 2 3 4 4 4" xfId="18680" xr:uid="{7092F96A-0479-4A75-89BE-AAC0ABA7F7D8}"/>
    <cellStyle name="Normal 4 2 2 3 4 4 5" xfId="10206" xr:uid="{1DA32C84-5332-4256-AD08-9F2FFA31564A}"/>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5456" xr:uid="{88B709EF-B8DD-416B-83F5-DB7F0A708B8A}"/>
    <cellStyle name="Normal 4 2 2 3 4 5 2 2 3" xfId="17015" xr:uid="{41C57C43-C494-465C-9813-DC2B406B2DAF}"/>
    <cellStyle name="Normal 4 2 2 3 4 5 2 3" xfId="21238" xr:uid="{21F2842B-330E-4699-B655-54D2C5F8CB08}"/>
    <cellStyle name="Normal 4 2 2 3 4 5 2 4" xfId="12796" xr:uid="{D5078FDA-AFB2-4855-B75C-6DC26755349A}"/>
    <cellStyle name="Normal 4 2 2 3 4 5 3" xfId="6376" xr:uid="{00000000-0005-0000-0000-00007C120000}"/>
    <cellStyle name="Normal 4 2 2 3 4 5 3 2" xfId="23311" xr:uid="{D34D1094-D784-44EA-98ED-8A3679085F0E}"/>
    <cellStyle name="Normal 4 2 2 3 4 5 3 3" xfId="14870" xr:uid="{BE88E1B3-C611-4135-B324-CEFC16714713}"/>
    <cellStyle name="Normal 4 2 2 3 4 5 4" xfId="19093" xr:uid="{D9CE1989-8CB5-4E98-841A-1692A4FF1964}"/>
    <cellStyle name="Normal 4 2 2 3 4 5 5" xfId="10619" xr:uid="{E9A439E0-0BA9-44DD-82E7-EEDAE3E9C245}"/>
    <cellStyle name="Normal 4 2 2 3 4 6" xfId="2506" xr:uid="{00000000-0005-0000-0000-00007D120000}"/>
    <cellStyle name="Normal 4 2 2 3 4 6 2" xfId="6789" xr:uid="{00000000-0005-0000-0000-00007E120000}"/>
    <cellStyle name="Normal 4 2 2 3 4 6 2 2" xfId="23724" xr:uid="{7D8C5512-3A6F-4A64-B61D-709406D21D24}"/>
    <cellStyle name="Normal 4 2 2 3 4 6 2 3" xfId="15283" xr:uid="{8917E7BC-0BEA-4621-8DF4-3002AD4B71AA}"/>
    <cellStyle name="Normal 4 2 2 3 4 6 3" xfId="19506" xr:uid="{A1A4F345-E363-410F-BCFF-911F84349764}"/>
    <cellStyle name="Normal 4 2 2 3 4 6 4" xfId="11054" xr:uid="{7F5FCF52-B8D8-4DC5-A8B9-628ADA820F9B}"/>
    <cellStyle name="Normal 4 2 2 3 4 7" xfId="4724" xr:uid="{00000000-0005-0000-0000-00007F120000}"/>
    <cellStyle name="Normal 4 2 2 3 4 7 2" xfId="21659" xr:uid="{1F911F54-AF5D-4E82-BE36-EDC9F97739C7}"/>
    <cellStyle name="Normal 4 2 2 3 4 7 3" xfId="13218" xr:uid="{A642B4C4-B99E-4FD7-B640-C176C8F80257}"/>
    <cellStyle name="Normal 4 2 2 3 4 8" xfId="17441" xr:uid="{7E927856-0F53-4DDD-AA36-3F28365572ED}"/>
    <cellStyle name="Normal 4 2 2 3 4 9" xfId="8966" xr:uid="{63D862BF-7502-4B5E-A203-2D853826A31F}"/>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4210" xr:uid="{FFE87C61-0B77-4C3D-8EBC-58D4B38C313D}"/>
    <cellStyle name="Normal 4 2 2 3 5 2 2 3" xfId="15769" xr:uid="{A61667F7-8963-4008-A797-7490AFBF7CA8}"/>
    <cellStyle name="Normal 4 2 2 3 5 2 3" xfId="19992" xr:uid="{4D8111E2-658B-4DEB-82B9-48B0D6AD798B}"/>
    <cellStyle name="Normal 4 2 2 3 5 2 4" xfId="11550" xr:uid="{2B78E8C8-4D50-4B36-9E15-0DAEA1B766FB}"/>
    <cellStyle name="Normal 4 2 2 3 5 3" xfId="5130" xr:uid="{00000000-0005-0000-0000-000083120000}"/>
    <cellStyle name="Normal 4 2 2 3 5 3 2" xfId="22065" xr:uid="{8613EBB3-EB3E-48C1-9068-3F4F3F216608}"/>
    <cellStyle name="Normal 4 2 2 3 5 3 3" xfId="13624" xr:uid="{2154E69B-7706-4A72-997E-40B14EF1A73A}"/>
    <cellStyle name="Normal 4 2 2 3 5 4" xfId="17847" xr:uid="{A555BFDB-45C0-49B7-859A-4E3AB18AD4AF}"/>
    <cellStyle name="Normal 4 2 2 3 5 5" xfId="9373" xr:uid="{C80C867A-DDDE-4F48-908F-2361233A712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4623" xr:uid="{BC957590-266B-4F56-9F49-B89BC395FADD}"/>
    <cellStyle name="Normal 4 2 2 3 6 2 2 3" xfId="16182" xr:uid="{F102B3AA-6289-4D13-A15B-9D4C80FF4478}"/>
    <cellStyle name="Normal 4 2 2 3 6 2 3" xfId="20405" xr:uid="{F8905B72-A390-473F-A5F1-1EF005D6F770}"/>
    <cellStyle name="Normal 4 2 2 3 6 2 4" xfId="11963" xr:uid="{DC1548B1-412C-4D8C-80C7-78413DF3DC21}"/>
    <cellStyle name="Normal 4 2 2 3 6 3" xfId="5543" xr:uid="{00000000-0005-0000-0000-000087120000}"/>
    <cellStyle name="Normal 4 2 2 3 6 3 2" xfId="22478" xr:uid="{9B25BBDE-B87E-4B93-A4F4-ED4A26C09919}"/>
    <cellStyle name="Normal 4 2 2 3 6 3 3" xfId="14037" xr:uid="{AAB8D199-638F-49AD-B7B2-286E1ADF843F}"/>
    <cellStyle name="Normal 4 2 2 3 6 4" xfId="18260" xr:uid="{14DB7953-F6DE-494D-B274-1ECB89C42E5E}"/>
    <cellStyle name="Normal 4 2 2 3 6 5" xfId="9786" xr:uid="{D3B0FE2C-C702-4F06-A5D8-16198638533F}"/>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5036" xr:uid="{8B38EE35-119B-46CB-B590-881CDAFF3523}"/>
    <cellStyle name="Normal 4 2 2 3 7 2 2 3" xfId="16595" xr:uid="{CFB7B48C-8714-4EE0-B61A-024961E8E89D}"/>
    <cellStyle name="Normal 4 2 2 3 7 2 3" xfId="20818" xr:uid="{E239BCE2-E540-49BC-81F9-9453C6C30BDB}"/>
    <cellStyle name="Normal 4 2 2 3 7 2 4" xfId="12376" xr:uid="{AB9EF7B8-8DEB-4506-99FB-613FC558E125}"/>
    <cellStyle name="Normal 4 2 2 3 7 3" xfId="5956" xr:uid="{00000000-0005-0000-0000-00008B120000}"/>
    <cellStyle name="Normal 4 2 2 3 7 3 2" xfId="22891" xr:uid="{205AE8A9-9730-4BF8-89F9-0A691CD7BC01}"/>
    <cellStyle name="Normal 4 2 2 3 7 3 3" xfId="14450" xr:uid="{E93BB8DB-4063-495F-9E49-A8554BEA7049}"/>
    <cellStyle name="Normal 4 2 2 3 7 4" xfId="18673" xr:uid="{A1DB9955-F8BD-4D4B-9A3C-EEAF5753445A}"/>
    <cellStyle name="Normal 4 2 2 3 7 5" xfId="10199" xr:uid="{1A16D4A6-2603-4D13-AB50-1D231725FE28}"/>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5449" xr:uid="{951ECFE9-2858-4593-89A2-D03FF2434C32}"/>
    <cellStyle name="Normal 4 2 2 3 8 2 2 3" xfId="17008" xr:uid="{30978E01-A722-464C-A15F-4CE1815A30E7}"/>
    <cellStyle name="Normal 4 2 2 3 8 2 3" xfId="21231" xr:uid="{EE63C2D4-90FB-4ED6-8025-0A093A0B2DE8}"/>
    <cellStyle name="Normal 4 2 2 3 8 2 4" xfId="12789" xr:uid="{7708FD32-0FAC-4943-99DF-96C2345B872D}"/>
    <cellStyle name="Normal 4 2 2 3 8 3" xfId="6369" xr:uid="{00000000-0005-0000-0000-00008F120000}"/>
    <cellStyle name="Normal 4 2 2 3 8 3 2" xfId="23304" xr:uid="{DA46EC28-C04C-4014-B45F-B3FDA252D3C6}"/>
    <cellStyle name="Normal 4 2 2 3 8 3 3" xfId="14863" xr:uid="{A23BF07F-95E1-4F03-A613-E67D622524BC}"/>
    <cellStyle name="Normal 4 2 2 3 8 4" xfId="19086" xr:uid="{D2471CFC-33A3-4741-8C29-042A520A0686}"/>
    <cellStyle name="Normal 4 2 2 3 8 5" xfId="10612" xr:uid="{89FE51B1-1465-4EDD-883E-7D2E2C37C760}"/>
    <cellStyle name="Normal 4 2 2 3 9" xfId="2499" xr:uid="{00000000-0005-0000-0000-000090120000}"/>
    <cellStyle name="Normal 4 2 2 3 9 2" xfId="6782" xr:uid="{00000000-0005-0000-0000-000091120000}"/>
    <cellStyle name="Normal 4 2 2 3 9 2 2" xfId="23717" xr:uid="{A683D543-C4DE-47B0-AF5A-1F8F576446C1}"/>
    <cellStyle name="Normal 4 2 2 3 9 2 3" xfId="15276" xr:uid="{AB707324-0088-46EB-B095-7BF7240A7C1E}"/>
    <cellStyle name="Normal 4 2 2 3 9 3" xfId="19499" xr:uid="{9774AD61-BC1D-4724-A668-B06F1C33BE23}"/>
    <cellStyle name="Normal 4 2 2 3 9 4" xfId="11047" xr:uid="{6C959EDF-CB05-42FD-8057-07F6962C7E67}"/>
    <cellStyle name="Normal 4 2 2 4" xfId="347" xr:uid="{00000000-0005-0000-0000-000092120000}"/>
    <cellStyle name="Normal 4 2 2 4 10" xfId="17442" xr:uid="{229DCEA9-3D5B-4BC3-835E-4B62FCC56D77}"/>
    <cellStyle name="Normal 4 2 2 4 11" xfId="8967" xr:uid="{A62F8729-617F-4A1F-B3F7-69A69E8817DB}"/>
    <cellStyle name="Normal 4 2 2 4 2" xfId="348" xr:uid="{00000000-0005-0000-0000-000093120000}"/>
    <cellStyle name="Normal 4 2 2 4 2 10" xfId="8968" xr:uid="{A8857A08-AC8D-4F11-87A3-DA0441D349C4}"/>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4220" xr:uid="{80B99C4D-6D38-409D-9805-06B8CC874C8B}"/>
    <cellStyle name="Normal 4 2 2 4 2 2 2 2 2 3" xfId="15779" xr:uid="{B2AED3B0-4F9A-4F33-8240-2A41362E6884}"/>
    <cellStyle name="Normal 4 2 2 4 2 2 2 2 3" xfId="20002" xr:uid="{041D1D45-69BB-4C91-AB47-3E077D8076AF}"/>
    <cellStyle name="Normal 4 2 2 4 2 2 2 2 4" xfId="11560" xr:uid="{1A080631-AB60-4553-9C83-7BBA860A5F72}"/>
    <cellStyle name="Normal 4 2 2 4 2 2 2 3" xfId="5140" xr:uid="{00000000-0005-0000-0000-000098120000}"/>
    <cellStyle name="Normal 4 2 2 4 2 2 2 3 2" xfId="22075" xr:uid="{4E68C089-262E-4736-8448-C96CCB2FC6B9}"/>
    <cellStyle name="Normal 4 2 2 4 2 2 2 3 3" xfId="13634" xr:uid="{0FA3F2F0-1D6F-4160-825D-0B5DEA1CEF9E}"/>
    <cellStyle name="Normal 4 2 2 4 2 2 2 4" xfId="17857" xr:uid="{8FF429EB-BDA6-40CC-9819-52463C69DE32}"/>
    <cellStyle name="Normal 4 2 2 4 2 2 2 5" xfId="9383" xr:uid="{1FE2AE25-4DCA-41FC-9BC7-D713757B2085}"/>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4633" xr:uid="{4610AF33-7AAD-41FB-9F92-B0D4DF1BB2A8}"/>
    <cellStyle name="Normal 4 2 2 4 2 2 3 2 2 3" xfId="16192" xr:uid="{F8696304-71ED-4421-A09B-ABB02A895C7F}"/>
    <cellStyle name="Normal 4 2 2 4 2 2 3 2 3" xfId="20415" xr:uid="{A3CC2D22-F813-4701-B0DC-9CF2324D7900}"/>
    <cellStyle name="Normal 4 2 2 4 2 2 3 2 4" xfId="11973" xr:uid="{40BE69A5-5412-421A-AFA8-A0AE69BC60A2}"/>
    <cellStyle name="Normal 4 2 2 4 2 2 3 3" xfId="5553" xr:uid="{00000000-0005-0000-0000-00009C120000}"/>
    <cellStyle name="Normal 4 2 2 4 2 2 3 3 2" xfId="22488" xr:uid="{1446E3F3-E83F-4480-9995-E27B2AB6520A}"/>
    <cellStyle name="Normal 4 2 2 4 2 2 3 3 3" xfId="14047" xr:uid="{DD96861B-D1BC-4771-9DD7-84E1F1404370}"/>
    <cellStyle name="Normal 4 2 2 4 2 2 3 4" xfId="18270" xr:uid="{CF140CAF-398C-49B3-A04B-0568B8576F3C}"/>
    <cellStyle name="Normal 4 2 2 4 2 2 3 5" xfId="9796" xr:uid="{2AE0D47D-1C4E-4F8F-B98B-4D5581B4962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046" xr:uid="{2ABB2032-72F0-49E3-A6F1-C19529A0D700}"/>
    <cellStyle name="Normal 4 2 2 4 2 2 4 2 2 3" xfId="16605" xr:uid="{6D411BAB-D538-4F7E-85D3-E1BFE58194C5}"/>
    <cellStyle name="Normal 4 2 2 4 2 2 4 2 3" xfId="20828" xr:uid="{7CF6FABE-278B-47F4-89F2-5E220131C857}"/>
    <cellStyle name="Normal 4 2 2 4 2 2 4 2 4" xfId="12386" xr:uid="{BEF7F7CF-3AEB-455A-95FA-297F60BD9F8D}"/>
    <cellStyle name="Normal 4 2 2 4 2 2 4 3" xfId="5966" xr:uid="{00000000-0005-0000-0000-0000A0120000}"/>
    <cellStyle name="Normal 4 2 2 4 2 2 4 3 2" xfId="22901" xr:uid="{5CA1A8FF-C2F6-4620-A20C-D720535AD323}"/>
    <cellStyle name="Normal 4 2 2 4 2 2 4 3 3" xfId="14460" xr:uid="{4D916F56-5BEE-4CD5-ABC5-2FCE974CC7F6}"/>
    <cellStyle name="Normal 4 2 2 4 2 2 4 4" xfId="18683" xr:uid="{9CC0592D-FD70-46A9-9188-2CE8E2267ADF}"/>
    <cellStyle name="Normal 4 2 2 4 2 2 4 5" xfId="10209" xr:uid="{EF68EE40-8F09-449F-A6A4-A05CCF7EAD9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5459" xr:uid="{51994FE6-F641-47A6-A0E0-6E32CDBB5B9F}"/>
    <cellStyle name="Normal 4 2 2 4 2 2 5 2 2 3" xfId="17018" xr:uid="{AA2EA4A3-D90F-4603-B7E1-6728C6F03174}"/>
    <cellStyle name="Normal 4 2 2 4 2 2 5 2 3" xfId="21241" xr:uid="{F5A7D032-F18B-44C4-9785-BF27893758C1}"/>
    <cellStyle name="Normal 4 2 2 4 2 2 5 2 4" xfId="12799" xr:uid="{BDEC6615-7DCA-41CA-87D9-49DB4A59957E}"/>
    <cellStyle name="Normal 4 2 2 4 2 2 5 3" xfId="6379" xr:uid="{00000000-0005-0000-0000-0000A4120000}"/>
    <cellStyle name="Normal 4 2 2 4 2 2 5 3 2" xfId="23314" xr:uid="{12E7B650-EDEF-48AD-B529-7DE7CEFC2040}"/>
    <cellStyle name="Normal 4 2 2 4 2 2 5 3 3" xfId="14873" xr:uid="{798B7766-DBF0-45F5-A2E3-134153832AD8}"/>
    <cellStyle name="Normal 4 2 2 4 2 2 5 4" xfId="19096" xr:uid="{C64C88E8-0D04-4413-9551-68D8059CF018}"/>
    <cellStyle name="Normal 4 2 2 4 2 2 5 5" xfId="10622" xr:uid="{1D0B013A-88DF-43CB-8B5C-8043CC0F73C4}"/>
    <cellStyle name="Normal 4 2 2 4 2 2 6" xfId="2509" xr:uid="{00000000-0005-0000-0000-0000A5120000}"/>
    <cellStyle name="Normal 4 2 2 4 2 2 6 2" xfId="6792" xr:uid="{00000000-0005-0000-0000-0000A6120000}"/>
    <cellStyle name="Normal 4 2 2 4 2 2 6 2 2" xfId="23727" xr:uid="{A6E0DA1E-1206-47FA-937A-5D57D34177DE}"/>
    <cellStyle name="Normal 4 2 2 4 2 2 6 2 3" xfId="15286" xr:uid="{95A33481-EFEF-4DF1-B86C-1EF0F5484432}"/>
    <cellStyle name="Normal 4 2 2 4 2 2 6 3" xfId="19509" xr:uid="{F7600E45-0D7F-4F53-ADF8-4A9594A26EAC}"/>
    <cellStyle name="Normal 4 2 2 4 2 2 6 4" xfId="11057" xr:uid="{47072FC7-A443-459C-A53A-FB053F38728D}"/>
    <cellStyle name="Normal 4 2 2 4 2 2 7" xfId="4727" xr:uid="{00000000-0005-0000-0000-0000A7120000}"/>
    <cellStyle name="Normal 4 2 2 4 2 2 7 2" xfId="21662" xr:uid="{3513EE19-C0AA-4815-9394-15DD16505396}"/>
    <cellStyle name="Normal 4 2 2 4 2 2 7 3" xfId="13221" xr:uid="{AEFAE9BE-A282-4121-9615-AF358CFE43C5}"/>
    <cellStyle name="Normal 4 2 2 4 2 2 8" xfId="17444" xr:uid="{73625CBC-C5C9-45E9-A54B-FF92C4BBA24D}"/>
    <cellStyle name="Normal 4 2 2 4 2 2 9" xfId="8969" xr:uid="{81FCB20F-F2AB-45AF-8ADD-2FAAE84BA0B9}"/>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4219" xr:uid="{21AF8E87-CCF9-4E2D-86A6-8063ED25844E}"/>
    <cellStyle name="Normal 4 2 2 4 2 3 2 2 3" xfId="15778" xr:uid="{270298AF-EDE0-4577-9810-D68BE50B2D98}"/>
    <cellStyle name="Normal 4 2 2 4 2 3 2 3" xfId="20001" xr:uid="{ECB24E03-3EB8-4DDF-9C3D-D136DA9867E7}"/>
    <cellStyle name="Normal 4 2 2 4 2 3 2 4" xfId="11559" xr:uid="{C19E86A0-ADBB-4232-9679-7DEFCE53ED33}"/>
    <cellStyle name="Normal 4 2 2 4 2 3 3" xfId="5139" xr:uid="{00000000-0005-0000-0000-0000AB120000}"/>
    <cellStyle name="Normal 4 2 2 4 2 3 3 2" xfId="22074" xr:uid="{F1132E75-609F-4B8D-8C53-727959827E6D}"/>
    <cellStyle name="Normal 4 2 2 4 2 3 3 3" xfId="13633" xr:uid="{FE96A838-FD8B-4A07-AFE1-76AD6FD2CE42}"/>
    <cellStyle name="Normal 4 2 2 4 2 3 4" xfId="17856" xr:uid="{BF3F5E48-C3B8-437C-A90B-D4FACAAFF4D7}"/>
    <cellStyle name="Normal 4 2 2 4 2 3 5" xfId="9382" xr:uid="{FA939914-0A5A-4BCF-9D38-449428FD3635}"/>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4632" xr:uid="{7A2C8287-C440-4622-A98B-3FA31C003FCE}"/>
    <cellStyle name="Normal 4 2 2 4 2 4 2 2 3" xfId="16191" xr:uid="{BD42D9CF-7337-425B-BE2C-4F2643225C34}"/>
    <cellStyle name="Normal 4 2 2 4 2 4 2 3" xfId="20414" xr:uid="{81A8D88E-E610-476B-AB95-8EB4FE632D0F}"/>
    <cellStyle name="Normal 4 2 2 4 2 4 2 4" xfId="11972" xr:uid="{0C74CFE6-7595-40A1-8EA6-3278052AB0BC}"/>
    <cellStyle name="Normal 4 2 2 4 2 4 3" xfId="5552" xr:uid="{00000000-0005-0000-0000-0000AF120000}"/>
    <cellStyle name="Normal 4 2 2 4 2 4 3 2" xfId="22487" xr:uid="{9EA011A6-F9F8-49F8-84C6-39EA67F643CB}"/>
    <cellStyle name="Normal 4 2 2 4 2 4 3 3" xfId="14046" xr:uid="{F7249A65-CDB4-4ABF-81BB-4E93E8636E02}"/>
    <cellStyle name="Normal 4 2 2 4 2 4 4" xfId="18269" xr:uid="{A60790DF-50EB-43C9-BFF1-70BAB01012F3}"/>
    <cellStyle name="Normal 4 2 2 4 2 4 5" xfId="9795" xr:uid="{8EF3C83E-02E5-4817-8F67-649B92E48525}"/>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045" xr:uid="{BE153C47-BE8B-4E56-9D54-C8A5992B436D}"/>
    <cellStyle name="Normal 4 2 2 4 2 5 2 2 3" xfId="16604" xr:uid="{D445EC4F-35C5-483D-862D-F3E0B9902495}"/>
    <cellStyle name="Normal 4 2 2 4 2 5 2 3" xfId="20827" xr:uid="{326808BA-4181-422D-AFE3-B18254623A36}"/>
    <cellStyle name="Normal 4 2 2 4 2 5 2 4" xfId="12385" xr:uid="{55D49D31-C14B-4069-87C6-64F9FB90C5DD}"/>
    <cellStyle name="Normal 4 2 2 4 2 5 3" xfId="5965" xr:uid="{00000000-0005-0000-0000-0000B3120000}"/>
    <cellStyle name="Normal 4 2 2 4 2 5 3 2" xfId="22900" xr:uid="{86D70E28-0F14-4596-9AA9-232344D48C35}"/>
    <cellStyle name="Normal 4 2 2 4 2 5 3 3" xfId="14459" xr:uid="{BD52FD93-CFE6-4E5B-896F-6B0FCE6BED2C}"/>
    <cellStyle name="Normal 4 2 2 4 2 5 4" xfId="18682" xr:uid="{996B9815-0023-4DEA-9BCE-846812E938B6}"/>
    <cellStyle name="Normal 4 2 2 4 2 5 5" xfId="10208" xr:uid="{61D11999-A600-4F4A-9231-E634EC18B108}"/>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5458" xr:uid="{2A054EAE-515D-4D39-9AAB-05C3AFB543F7}"/>
    <cellStyle name="Normal 4 2 2 4 2 6 2 2 3" xfId="17017" xr:uid="{70B5AE51-2CEB-4504-BBB6-1E7ECD459CA2}"/>
    <cellStyle name="Normal 4 2 2 4 2 6 2 3" xfId="21240" xr:uid="{15134C26-BE88-48C7-A84F-E1D5CBBE39DB}"/>
    <cellStyle name="Normal 4 2 2 4 2 6 2 4" xfId="12798" xr:uid="{8ABDD155-DB71-4184-B2C9-4CD7A492ED3F}"/>
    <cellStyle name="Normal 4 2 2 4 2 6 3" xfId="6378" xr:uid="{00000000-0005-0000-0000-0000B7120000}"/>
    <cellStyle name="Normal 4 2 2 4 2 6 3 2" xfId="23313" xr:uid="{EAE596A8-DAE6-481C-A909-4497F7C02145}"/>
    <cellStyle name="Normal 4 2 2 4 2 6 3 3" xfId="14872" xr:uid="{E5493BBE-A6EF-4747-AC45-ADE141232DD1}"/>
    <cellStyle name="Normal 4 2 2 4 2 6 4" xfId="19095" xr:uid="{08AE1E6F-57ED-4593-8479-A2DB660D05CA}"/>
    <cellStyle name="Normal 4 2 2 4 2 6 5" xfId="10621" xr:uid="{30AE35E8-AFDF-4316-9669-B2F8E7D936C7}"/>
    <cellStyle name="Normal 4 2 2 4 2 7" xfId="2508" xr:uid="{00000000-0005-0000-0000-0000B8120000}"/>
    <cellStyle name="Normal 4 2 2 4 2 7 2" xfId="6791" xr:uid="{00000000-0005-0000-0000-0000B9120000}"/>
    <cellStyle name="Normal 4 2 2 4 2 7 2 2" xfId="23726" xr:uid="{11C4AB32-245E-4FE9-81A8-49237C1689E7}"/>
    <cellStyle name="Normal 4 2 2 4 2 7 2 3" xfId="15285" xr:uid="{FF458014-1FEE-4DC2-AFFE-659B06FC230B}"/>
    <cellStyle name="Normal 4 2 2 4 2 7 3" xfId="19508" xr:uid="{3D743931-5046-4ACE-8841-B8227355B96C}"/>
    <cellStyle name="Normal 4 2 2 4 2 7 4" xfId="11056" xr:uid="{60507763-ECD2-4F8B-B451-242E6481CAAE}"/>
    <cellStyle name="Normal 4 2 2 4 2 8" xfId="4726" xr:uid="{00000000-0005-0000-0000-0000BA120000}"/>
    <cellStyle name="Normal 4 2 2 4 2 8 2" xfId="21661" xr:uid="{0A27F521-EB6C-44F6-87BC-A7FB593819B0}"/>
    <cellStyle name="Normal 4 2 2 4 2 8 3" xfId="13220" xr:uid="{6D104A3F-5588-4C46-B964-BB1B02E24D2C}"/>
    <cellStyle name="Normal 4 2 2 4 2 9" xfId="17443" xr:uid="{1BA87787-F0DC-482D-8E82-CAD52A43BB6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4221" xr:uid="{3F49BCEC-B5D8-4DA9-8A37-ADE4848EACD5}"/>
    <cellStyle name="Normal 4 2 2 4 3 2 2 2 3" xfId="15780" xr:uid="{C9F42B1C-15DC-4A76-8008-76B86C654C6E}"/>
    <cellStyle name="Normal 4 2 2 4 3 2 2 3" xfId="20003" xr:uid="{80BE74BA-6557-4344-8B2E-E24ABC5B3E55}"/>
    <cellStyle name="Normal 4 2 2 4 3 2 2 4" xfId="11561" xr:uid="{236D45DC-CACF-442E-A369-19CFB459E11F}"/>
    <cellStyle name="Normal 4 2 2 4 3 2 3" xfId="5141" xr:uid="{00000000-0005-0000-0000-0000BF120000}"/>
    <cellStyle name="Normal 4 2 2 4 3 2 3 2" xfId="22076" xr:uid="{1748C1E6-E116-4C10-A6B2-98050C54B292}"/>
    <cellStyle name="Normal 4 2 2 4 3 2 3 3" xfId="13635" xr:uid="{98DC8317-37A9-4246-9423-DA3E44ABFE6F}"/>
    <cellStyle name="Normal 4 2 2 4 3 2 4" xfId="17858" xr:uid="{36E324E1-02F6-404B-A559-052D662BFFE5}"/>
    <cellStyle name="Normal 4 2 2 4 3 2 5" xfId="9384" xr:uid="{8A5DD324-B828-469F-98E0-06FCCB76B9E3}"/>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4634" xr:uid="{01FE1EAE-60A3-495B-983A-AA2CFDD5553E}"/>
    <cellStyle name="Normal 4 2 2 4 3 3 2 2 3" xfId="16193" xr:uid="{70FA9F8A-25A6-42C8-9A88-1DCCE8D3F447}"/>
    <cellStyle name="Normal 4 2 2 4 3 3 2 3" xfId="20416" xr:uid="{B8382C79-CE21-48BE-9FBD-123DD97523D4}"/>
    <cellStyle name="Normal 4 2 2 4 3 3 2 4" xfId="11974" xr:uid="{45E3BE03-CB5F-4C2F-8486-F05675D6A950}"/>
    <cellStyle name="Normal 4 2 2 4 3 3 3" xfId="5554" xr:uid="{00000000-0005-0000-0000-0000C3120000}"/>
    <cellStyle name="Normal 4 2 2 4 3 3 3 2" xfId="22489" xr:uid="{F7069EAD-665C-4851-A628-6F048509D155}"/>
    <cellStyle name="Normal 4 2 2 4 3 3 3 3" xfId="14048" xr:uid="{B19D09AB-FC5B-448E-9081-54737286F5D6}"/>
    <cellStyle name="Normal 4 2 2 4 3 3 4" xfId="18271" xr:uid="{39E7D002-106D-4BD7-A04C-053060A69885}"/>
    <cellStyle name="Normal 4 2 2 4 3 3 5" xfId="9797" xr:uid="{62F35C19-87A6-4670-855B-02A2FBC3D4D3}"/>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047" xr:uid="{89328E3A-5C4A-4C55-B046-8109C735EDB9}"/>
    <cellStyle name="Normal 4 2 2 4 3 4 2 2 3" xfId="16606" xr:uid="{F30876CB-F6F5-49D0-89AD-5306EB487B4A}"/>
    <cellStyle name="Normal 4 2 2 4 3 4 2 3" xfId="20829" xr:uid="{053BFA77-63C1-4E44-8B79-C1C53CC4D9D9}"/>
    <cellStyle name="Normal 4 2 2 4 3 4 2 4" xfId="12387" xr:uid="{6F556BEE-F431-4F36-9B6E-6AF3B8B44600}"/>
    <cellStyle name="Normal 4 2 2 4 3 4 3" xfId="5967" xr:uid="{00000000-0005-0000-0000-0000C7120000}"/>
    <cellStyle name="Normal 4 2 2 4 3 4 3 2" xfId="22902" xr:uid="{65FD9487-78DD-45DB-9858-08C59AF0FBC1}"/>
    <cellStyle name="Normal 4 2 2 4 3 4 3 3" xfId="14461" xr:uid="{4981EE3A-8BD8-4C4E-9AAD-24B1A3D33D3A}"/>
    <cellStyle name="Normal 4 2 2 4 3 4 4" xfId="18684" xr:uid="{A9D3344E-A099-4367-93F3-FBD2EA87A0BE}"/>
    <cellStyle name="Normal 4 2 2 4 3 4 5" xfId="10210" xr:uid="{CF6DE853-053A-44E6-B438-7C7BD4C4508E}"/>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5460" xr:uid="{CE8ADD83-FB36-4524-9D01-D9CFF11809BA}"/>
    <cellStyle name="Normal 4 2 2 4 3 5 2 2 3" xfId="17019" xr:uid="{EDBA9C17-A61A-4734-B9D4-49CD1ED66EDD}"/>
    <cellStyle name="Normal 4 2 2 4 3 5 2 3" xfId="21242" xr:uid="{BF582E96-BF2A-4D5F-AD96-8F0BB0EA935B}"/>
    <cellStyle name="Normal 4 2 2 4 3 5 2 4" xfId="12800" xr:uid="{EA3AF78A-41E1-46C2-9A5B-4695A3BC4296}"/>
    <cellStyle name="Normal 4 2 2 4 3 5 3" xfId="6380" xr:uid="{00000000-0005-0000-0000-0000CB120000}"/>
    <cellStyle name="Normal 4 2 2 4 3 5 3 2" xfId="23315" xr:uid="{34E2752B-471B-4F4A-8E37-24880EBC06A7}"/>
    <cellStyle name="Normal 4 2 2 4 3 5 3 3" xfId="14874" xr:uid="{46C11F64-78F7-43BF-A1A2-242A454844E8}"/>
    <cellStyle name="Normal 4 2 2 4 3 5 4" xfId="19097" xr:uid="{6F22C157-71FC-41F6-BB55-09A7D1741C6B}"/>
    <cellStyle name="Normal 4 2 2 4 3 5 5" xfId="10623" xr:uid="{A536E89C-489F-4A35-B7E5-EA5AF605008E}"/>
    <cellStyle name="Normal 4 2 2 4 3 6" xfId="2510" xr:uid="{00000000-0005-0000-0000-0000CC120000}"/>
    <cellStyle name="Normal 4 2 2 4 3 6 2" xfId="6793" xr:uid="{00000000-0005-0000-0000-0000CD120000}"/>
    <cellStyle name="Normal 4 2 2 4 3 6 2 2" xfId="23728" xr:uid="{961FF469-BBAF-4C71-AE6C-4BB635087D8E}"/>
    <cellStyle name="Normal 4 2 2 4 3 6 2 3" xfId="15287" xr:uid="{80591429-27B1-420C-AC27-17792BF3DF8B}"/>
    <cellStyle name="Normal 4 2 2 4 3 6 3" xfId="19510" xr:uid="{5F3F7862-CE3A-4523-8FE6-3472E35A739C}"/>
    <cellStyle name="Normal 4 2 2 4 3 6 4" xfId="11058" xr:uid="{63F8C061-49C6-4E80-8462-39B7ECCC20FC}"/>
    <cellStyle name="Normal 4 2 2 4 3 7" xfId="4728" xr:uid="{00000000-0005-0000-0000-0000CE120000}"/>
    <cellStyle name="Normal 4 2 2 4 3 7 2" xfId="21663" xr:uid="{CE0D7FC9-840E-4C76-8D20-B408230C9E7A}"/>
    <cellStyle name="Normal 4 2 2 4 3 7 3" xfId="13222" xr:uid="{3CB375DF-8777-4F96-B91C-330E6EA69C15}"/>
    <cellStyle name="Normal 4 2 2 4 3 8" xfId="17445" xr:uid="{41778224-EEA0-4603-B574-0CC79DC1F1A3}"/>
    <cellStyle name="Normal 4 2 2 4 3 9" xfId="8970" xr:uid="{F89DB916-21A2-43AE-9730-CBC606D6ADA9}"/>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4218" xr:uid="{DE72091A-8D40-4389-B47D-25847599C1FA}"/>
    <cellStyle name="Normal 4 2 2 4 4 2 2 3" xfId="15777" xr:uid="{E4B7EE18-0FD8-4C61-9906-BA0C3A374CD6}"/>
    <cellStyle name="Normal 4 2 2 4 4 2 3" xfId="20000" xr:uid="{A118DE49-7551-4667-93E4-FE8C98E32DC0}"/>
    <cellStyle name="Normal 4 2 2 4 4 2 4" xfId="11558" xr:uid="{E6BFA7C8-930F-496F-AF9F-EFC771DE9540}"/>
    <cellStyle name="Normal 4 2 2 4 4 3" xfId="5138" xr:uid="{00000000-0005-0000-0000-0000D2120000}"/>
    <cellStyle name="Normal 4 2 2 4 4 3 2" xfId="22073" xr:uid="{A39B7595-AEAF-4332-8CEC-6C6CAC348AEE}"/>
    <cellStyle name="Normal 4 2 2 4 4 3 3" xfId="13632" xr:uid="{AB884A32-F7D5-477E-9CD3-450C5C27147E}"/>
    <cellStyle name="Normal 4 2 2 4 4 4" xfId="17855" xr:uid="{F97D7055-9946-4861-BFB3-E3F717142ACF}"/>
    <cellStyle name="Normal 4 2 2 4 4 5" xfId="9381" xr:uid="{9B24E255-FDD4-42A0-8E76-2D0704C7AD7D}"/>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4631" xr:uid="{B855C102-AFF7-48DE-B630-7FEE51D29755}"/>
    <cellStyle name="Normal 4 2 2 4 5 2 2 3" xfId="16190" xr:uid="{5D65E544-BA25-49CA-A5BD-A74CEEBDBC8E}"/>
    <cellStyle name="Normal 4 2 2 4 5 2 3" xfId="20413" xr:uid="{1D6F6AFC-25AD-4EDC-A389-FFC8005358D7}"/>
    <cellStyle name="Normal 4 2 2 4 5 2 4" xfId="11971" xr:uid="{342BCB93-B7C5-4D9D-AF5A-21BDEF18D33B}"/>
    <cellStyle name="Normal 4 2 2 4 5 3" xfId="5551" xr:uid="{00000000-0005-0000-0000-0000D6120000}"/>
    <cellStyle name="Normal 4 2 2 4 5 3 2" xfId="22486" xr:uid="{FF59ED2E-93E0-4154-BDC7-4367BFD02B40}"/>
    <cellStyle name="Normal 4 2 2 4 5 3 3" xfId="14045" xr:uid="{7D530F31-8D28-46DC-9A1B-55D4FCE7A1D7}"/>
    <cellStyle name="Normal 4 2 2 4 5 4" xfId="18268" xr:uid="{8E0963CA-3B76-490A-A274-8440A4F1A656}"/>
    <cellStyle name="Normal 4 2 2 4 5 5" xfId="9794" xr:uid="{73783E62-CFF2-46E9-9D94-D202E62F8B8E}"/>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044" xr:uid="{9484A240-A99C-4CB4-9425-6B21136B8EA4}"/>
    <cellStyle name="Normal 4 2 2 4 6 2 2 3" xfId="16603" xr:uid="{28581871-0381-4953-9273-70D626D9989E}"/>
    <cellStyle name="Normal 4 2 2 4 6 2 3" xfId="20826" xr:uid="{77859599-3F69-4772-9BC7-73C9B3E65741}"/>
    <cellStyle name="Normal 4 2 2 4 6 2 4" xfId="12384" xr:uid="{E0147C08-59BB-493F-BC9B-05C83A578F1D}"/>
    <cellStyle name="Normal 4 2 2 4 6 3" xfId="5964" xr:uid="{00000000-0005-0000-0000-0000DA120000}"/>
    <cellStyle name="Normal 4 2 2 4 6 3 2" xfId="22899" xr:uid="{A197A2D6-C749-438D-ACB0-65F3975AE349}"/>
    <cellStyle name="Normal 4 2 2 4 6 3 3" xfId="14458" xr:uid="{951A056A-6829-40DB-9A5E-DF542AFB4F31}"/>
    <cellStyle name="Normal 4 2 2 4 6 4" xfId="18681" xr:uid="{659314AE-C3E8-4028-90EB-484F05C22BA8}"/>
    <cellStyle name="Normal 4 2 2 4 6 5" xfId="10207" xr:uid="{5431A759-B418-4F97-8D7F-A99C492DCFE4}"/>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5457" xr:uid="{0ED2850A-4566-4E59-AF53-553FB43A77F7}"/>
    <cellStyle name="Normal 4 2 2 4 7 2 2 3" xfId="17016" xr:uid="{8345762F-A8CE-4AC7-B138-2FF83AC7BD63}"/>
    <cellStyle name="Normal 4 2 2 4 7 2 3" xfId="21239" xr:uid="{5D4F3229-D2D4-452A-970F-890753C7CC70}"/>
    <cellStyle name="Normal 4 2 2 4 7 2 4" xfId="12797" xr:uid="{043C185E-752D-4F11-B0EC-4EE89FDB755A}"/>
    <cellStyle name="Normal 4 2 2 4 7 3" xfId="6377" xr:uid="{00000000-0005-0000-0000-0000DE120000}"/>
    <cellStyle name="Normal 4 2 2 4 7 3 2" xfId="23312" xr:uid="{04CC2A59-85EA-4BFF-8CAB-ACBE1860B03D}"/>
    <cellStyle name="Normal 4 2 2 4 7 3 3" xfId="14871" xr:uid="{53CD9758-00D5-433F-95F7-04A6A4F82FE8}"/>
    <cellStyle name="Normal 4 2 2 4 7 4" xfId="19094" xr:uid="{CCE0C1D3-2DA5-4D43-875E-4C6CD59C1593}"/>
    <cellStyle name="Normal 4 2 2 4 7 5" xfId="10620" xr:uid="{41DA99CB-2765-4E6E-819F-728E89ED8935}"/>
    <cellStyle name="Normal 4 2 2 4 8" xfId="2507" xr:uid="{00000000-0005-0000-0000-0000DF120000}"/>
    <cellStyle name="Normal 4 2 2 4 8 2" xfId="6790" xr:uid="{00000000-0005-0000-0000-0000E0120000}"/>
    <cellStyle name="Normal 4 2 2 4 8 2 2" xfId="23725" xr:uid="{810741CC-C8B1-46D7-80FB-0E871A03983C}"/>
    <cellStyle name="Normal 4 2 2 4 8 2 3" xfId="15284" xr:uid="{D44F7990-4BDA-44F1-8B3C-851D1B57DEB9}"/>
    <cellStyle name="Normal 4 2 2 4 8 3" xfId="19507" xr:uid="{ADC9F10D-B42C-4134-9D31-C6EF03B79F3B}"/>
    <cellStyle name="Normal 4 2 2 4 8 4" xfId="11055" xr:uid="{3DB08BBA-1C47-4A3B-A7EB-48E9DD77FE99}"/>
    <cellStyle name="Normal 4 2 2 4 9" xfId="4725" xr:uid="{00000000-0005-0000-0000-0000E1120000}"/>
    <cellStyle name="Normal 4 2 2 4 9 2" xfId="21660" xr:uid="{ED605D03-161F-4F34-870D-BDF53224D269}"/>
    <cellStyle name="Normal 4 2 2 4 9 3" xfId="13219" xr:uid="{833E4087-75D0-41C1-9D91-66C0AFFCC6A1}"/>
    <cellStyle name="Normal 4 2 2 5" xfId="351" xr:uid="{00000000-0005-0000-0000-0000E2120000}"/>
    <cellStyle name="Normal 4 2 2 5 10" xfId="8971" xr:uid="{137CEFF2-50E2-4445-906F-D339D96021E4}"/>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4223" xr:uid="{97852373-8E57-457C-BBBB-29AF6E22A6E3}"/>
    <cellStyle name="Normal 4 2 2 5 2 2 2 2 3" xfId="15782" xr:uid="{05D4BFBA-DF56-4D37-A48B-5C82668A2D4F}"/>
    <cellStyle name="Normal 4 2 2 5 2 2 2 3" xfId="20005" xr:uid="{481CFA54-D472-4D38-80A6-DDB68D71968D}"/>
    <cellStyle name="Normal 4 2 2 5 2 2 2 4" xfId="11563" xr:uid="{D073EBB8-EAC8-4AF2-A5DE-0C05FBD4F6EA}"/>
    <cellStyle name="Normal 4 2 2 5 2 2 3" xfId="5143" xr:uid="{00000000-0005-0000-0000-0000E7120000}"/>
    <cellStyle name="Normal 4 2 2 5 2 2 3 2" xfId="22078" xr:uid="{8F7A4C37-AFE0-48C7-8647-73735C1CDC1D}"/>
    <cellStyle name="Normal 4 2 2 5 2 2 3 3" xfId="13637" xr:uid="{4E7FC851-23CA-479A-AF85-CFB77EA4A2C0}"/>
    <cellStyle name="Normal 4 2 2 5 2 2 4" xfId="17860" xr:uid="{63562D7E-D334-41B4-BC56-80774119C086}"/>
    <cellStyle name="Normal 4 2 2 5 2 2 5" xfId="9386" xr:uid="{1247D6B8-6A1C-4F54-A8A2-C0ECC1A2EF86}"/>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4636" xr:uid="{5937279E-5139-4F1E-9A6F-794A497712DB}"/>
    <cellStyle name="Normal 4 2 2 5 2 3 2 2 3" xfId="16195" xr:uid="{F83F0280-38DD-43CB-A3E2-F4BAEFB18E3F}"/>
    <cellStyle name="Normal 4 2 2 5 2 3 2 3" xfId="20418" xr:uid="{49F58814-FBB8-4140-BDFA-E86BE179175B}"/>
    <cellStyle name="Normal 4 2 2 5 2 3 2 4" xfId="11976" xr:uid="{9893784D-4D9B-4E2F-8681-D2A1D65EB08B}"/>
    <cellStyle name="Normal 4 2 2 5 2 3 3" xfId="5556" xr:uid="{00000000-0005-0000-0000-0000EB120000}"/>
    <cellStyle name="Normal 4 2 2 5 2 3 3 2" xfId="22491" xr:uid="{28B3557A-FCB2-4A76-AEE4-4DF53902E0DA}"/>
    <cellStyle name="Normal 4 2 2 5 2 3 3 3" xfId="14050" xr:uid="{030239FE-2A43-4CC9-AFA5-2F9FE907B22B}"/>
    <cellStyle name="Normal 4 2 2 5 2 3 4" xfId="18273" xr:uid="{A1010C1C-BE0D-4ABD-81DD-2F55B41780D4}"/>
    <cellStyle name="Normal 4 2 2 5 2 3 5" xfId="9799" xr:uid="{DA095FF2-6122-4BC1-92E5-5721A1A15E2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049" xr:uid="{9A427FB8-9254-49ED-88C3-D858111ACCB0}"/>
    <cellStyle name="Normal 4 2 2 5 2 4 2 2 3" xfId="16608" xr:uid="{D0E7AFAA-0ACE-4746-979A-8C58FFADDFAB}"/>
    <cellStyle name="Normal 4 2 2 5 2 4 2 3" xfId="20831" xr:uid="{205822B9-1C29-42A6-832C-5097E198C47B}"/>
    <cellStyle name="Normal 4 2 2 5 2 4 2 4" xfId="12389" xr:uid="{D18BA68E-3C45-4FFA-8C93-E7A0A15A5119}"/>
    <cellStyle name="Normal 4 2 2 5 2 4 3" xfId="5969" xr:uid="{00000000-0005-0000-0000-0000EF120000}"/>
    <cellStyle name="Normal 4 2 2 5 2 4 3 2" xfId="22904" xr:uid="{5886F91A-9770-4DEE-9E80-82CC0693EEEB}"/>
    <cellStyle name="Normal 4 2 2 5 2 4 3 3" xfId="14463" xr:uid="{869C4521-C95A-46C7-8A60-1AE5B9F154DB}"/>
    <cellStyle name="Normal 4 2 2 5 2 4 4" xfId="18686" xr:uid="{C425B72B-FCFF-4BA2-BBD2-1760F7567F39}"/>
    <cellStyle name="Normal 4 2 2 5 2 4 5" xfId="10212" xr:uid="{9B591827-FD5B-4E20-B6E7-D945BA04F7F7}"/>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5462" xr:uid="{E30ADCF5-8EB1-46BB-8932-62E3AFE3BE70}"/>
    <cellStyle name="Normal 4 2 2 5 2 5 2 2 3" xfId="17021" xr:uid="{CF492E9B-41F2-4D76-8ED0-DA2B13F46111}"/>
    <cellStyle name="Normal 4 2 2 5 2 5 2 3" xfId="21244" xr:uid="{B5BF4C04-AA36-4819-981D-7DA170DDF79B}"/>
    <cellStyle name="Normal 4 2 2 5 2 5 2 4" xfId="12802" xr:uid="{2D87D061-D049-4EBC-AD64-C17071774E71}"/>
    <cellStyle name="Normal 4 2 2 5 2 5 3" xfId="6382" xr:uid="{00000000-0005-0000-0000-0000F3120000}"/>
    <cellStyle name="Normal 4 2 2 5 2 5 3 2" xfId="23317" xr:uid="{A8E8DFDA-A8BC-4DB3-9618-9CC55908A851}"/>
    <cellStyle name="Normal 4 2 2 5 2 5 3 3" xfId="14876" xr:uid="{C9BAD592-34F6-40BD-8CAB-C9915C122581}"/>
    <cellStyle name="Normal 4 2 2 5 2 5 4" xfId="19099" xr:uid="{27D6FDA9-BFDE-4A58-AEB5-DCBC736FEF25}"/>
    <cellStyle name="Normal 4 2 2 5 2 5 5" xfId="10625" xr:uid="{D79568A1-636A-4B46-BA22-402141282C75}"/>
    <cellStyle name="Normal 4 2 2 5 2 6" xfId="2512" xr:uid="{00000000-0005-0000-0000-0000F4120000}"/>
    <cellStyle name="Normal 4 2 2 5 2 6 2" xfId="6795" xr:uid="{00000000-0005-0000-0000-0000F5120000}"/>
    <cellStyle name="Normal 4 2 2 5 2 6 2 2" xfId="23730" xr:uid="{268FFC17-F2B3-4E88-8AF0-AAE4A84F1CE9}"/>
    <cellStyle name="Normal 4 2 2 5 2 6 2 3" xfId="15289" xr:uid="{D815A635-2BA9-4C7D-BFFF-60B79A0DE9B1}"/>
    <cellStyle name="Normal 4 2 2 5 2 6 3" xfId="19512" xr:uid="{F366363F-AE8D-4713-A1BA-7EA5ECBC77E2}"/>
    <cellStyle name="Normal 4 2 2 5 2 6 4" xfId="11060" xr:uid="{D9DB450A-4841-421C-A56A-2E8B98AD5248}"/>
    <cellStyle name="Normal 4 2 2 5 2 7" xfId="4730" xr:uid="{00000000-0005-0000-0000-0000F6120000}"/>
    <cellStyle name="Normal 4 2 2 5 2 7 2" xfId="21665" xr:uid="{A75E6C19-7A45-447E-8DA9-A7466DFE4FB0}"/>
    <cellStyle name="Normal 4 2 2 5 2 7 3" xfId="13224" xr:uid="{C1FE03E7-3CB3-4EAB-8849-75E41EF881B2}"/>
    <cellStyle name="Normal 4 2 2 5 2 8" xfId="17447" xr:uid="{BC0B6041-6BF6-4587-B930-F00943D36683}"/>
    <cellStyle name="Normal 4 2 2 5 2 9" xfId="8972" xr:uid="{B3D60EF6-4696-40AC-84DE-14F30829C226}"/>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4222" xr:uid="{3FD43224-CF5D-4732-BB8B-E4C4C0B8A105}"/>
    <cellStyle name="Normal 4 2 2 5 3 2 2 3" xfId="15781" xr:uid="{B8549F4A-B920-4EDE-8D41-091B68632BD7}"/>
    <cellStyle name="Normal 4 2 2 5 3 2 3" xfId="20004" xr:uid="{700A6A82-6450-4E62-913F-A65486FC6678}"/>
    <cellStyle name="Normal 4 2 2 5 3 2 4" xfId="11562" xr:uid="{55289DFC-0DC7-476E-8344-9068BD1D3F23}"/>
    <cellStyle name="Normal 4 2 2 5 3 3" xfId="5142" xr:uid="{00000000-0005-0000-0000-0000FA120000}"/>
    <cellStyle name="Normal 4 2 2 5 3 3 2" xfId="22077" xr:uid="{7B0D53A6-8E85-4A30-9F01-DB58ACEAEE73}"/>
    <cellStyle name="Normal 4 2 2 5 3 3 3" xfId="13636" xr:uid="{574ADD15-CEC5-48AD-9513-18F4E55210CF}"/>
    <cellStyle name="Normal 4 2 2 5 3 4" xfId="17859" xr:uid="{D7DF21CC-98C8-46BD-B54E-F140271827B4}"/>
    <cellStyle name="Normal 4 2 2 5 3 5" xfId="9385" xr:uid="{72219CF0-4847-49E2-ACAA-D02377401AAA}"/>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4635" xr:uid="{5BAC568A-8E16-46F3-82BB-80770608EA8B}"/>
    <cellStyle name="Normal 4 2 2 5 4 2 2 3" xfId="16194" xr:uid="{8DF25535-C1B2-4DCD-83FF-12679F240FED}"/>
    <cellStyle name="Normal 4 2 2 5 4 2 3" xfId="20417" xr:uid="{EF3465F8-01D5-48CB-BA9C-AA1BBCC38006}"/>
    <cellStyle name="Normal 4 2 2 5 4 2 4" xfId="11975" xr:uid="{7066B6F6-A32D-4BF5-B805-70BF2268DFBD}"/>
    <cellStyle name="Normal 4 2 2 5 4 3" xfId="5555" xr:uid="{00000000-0005-0000-0000-0000FE120000}"/>
    <cellStyle name="Normal 4 2 2 5 4 3 2" xfId="22490" xr:uid="{DDC47BBA-4F8D-41C8-AC9A-A755DDC234F9}"/>
    <cellStyle name="Normal 4 2 2 5 4 3 3" xfId="14049" xr:uid="{F3AC2DE3-D795-4216-947B-AE4285808AA5}"/>
    <cellStyle name="Normal 4 2 2 5 4 4" xfId="18272" xr:uid="{4E7A90EC-F32B-4484-97F9-91860AB63E16}"/>
    <cellStyle name="Normal 4 2 2 5 4 5" xfId="9798" xr:uid="{EDA742AD-9C48-408A-82B3-CA588FF87FBC}"/>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048" xr:uid="{0F2939CC-6C4A-4833-BAE8-46E162F12135}"/>
    <cellStyle name="Normal 4 2 2 5 5 2 2 3" xfId="16607" xr:uid="{989170F1-9A2C-4BEC-9FC6-CB76DA80EE9E}"/>
    <cellStyle name="Normal 4 2 2 5 5 2 3" xfId="20830" xr:uid="{DA28B025-F519-4681-833D-60A71F1ECF11}"/>
    <cellStyle name="Normal 4 2 2 5 5 2 4" xfId="12388" xr:uid="{F63382C6-73AC-4DD4-98C7-6A951A294A6E}"/>
    <cellStyle name="Normal 4 2 2 5 5 3" xfId="5968" xr:uid="{00000000-0005-0000-0000-000002130000}"/>
    <cellStyle name="Normal 4 2 2 5 5 3 2" xfId="22903" xr:uid="{7981112B-D99E-4FD7-9352-AEA9827A24E3}"/>
    <cellStyle name="Normal 4 2 2 5 5 3 3" xfId="14462" xr:uid="{B1ED79BC-50B1-4CE8-88D5-AFB2C8283DBC}"/>
    <cellStyle name="Normal 4 2 2 5 5 4" xfId="18685" xr:uid="{8C896E91-6651-430A-9A9B-0D751BE68139}"/>
    <cellStyle name="Normal 4 2 2 5 5 5" xfId="10211" xr:uid="{9224C2C4-A9C3-4F53-BA18-A84BCC0007B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5461" xr:uid="{1B28C5F0-3F48-4A45-BDAA-EC182240986F}"/>
    <cellStyle name="Normal 4 2 2 5 6 2 2 3" xfId="17020" xr:uid="{D0123E3C-6003-4E86-9CC4-3E6E3885F89E}"/>
    <cellStyle name="Normal 4 2 2 5 6 2 3" xfId="21243" xr:uid="{7CF9973E-F71C-4FF4-AE37-FDE335BBEC06}"/>
    <cellStyle name="Normal 4 2 2 5 6 2 4" xfId="12801" xr:uid="{D95CE963-E7DE-4DA8-920E-7622F3D611AE}"/>
    <cellStyle name="Normal 4 2 2 5 6 3" xfId="6381" xr:uid="{00000000-0005-0000-0000-000006130000}"/>
    <cellStyle name="Normal 4 2 2 5 6 3 2" xfId="23316" xr:uid="{F3025DA1-E14D-4D13-8A04-345B75F17EF3}"/>
    <cellStyle name="Normal 4 2 2 5 6 3 3" xfId="14875" xr:uid="{D6F91A74-0CF9-4FED-A19D-02C791BC0706}"/>
    <cellStyle name="Normal 4 2 2 5 6 4" xfId="19098" xr:uid="{7D2A1679-592E-45F5-AB0C-D38D8A118B47}"/>
    <cellStyle name="Normal 4 2 2 5 6 5" xfId="10624" xr:uid="{7C4EEF53-F879-43E4-B3EC-76511B87C6E9}"/>
    <cellStyle name="Normal 4 2 2 5 7" xfId="2511" xr:uid="{00000000-0005-0000-0000-000007130000}"/>
    <cellStyle name="Normal 4 2 2 5 7 2" xfId="6794" xr:uid="{00000000-0005-0000-0000-000008130000}"/>
    <cellStyle name="Normal 4 2 2 5 7 2 2" xfId="23729" xr:uid="{32FEE239-4501-414A-ACC0-F144188C54D9}"/>
    <cellStyle name="Normal 4 2 2 5 7 2 3" xfId="15288" xr:uid="{24D56EC4-F2D9-4EE8-99DA-9D0B633A2544}"/>
    <cellStyle name="Normal 4 2 2 5 7 3" xfId="19511" xr:uid="{6F2936BD-4BB8-448B-8F31-E0ADF40FD124}"/>
    <cellStyle name="Normal 4 2 2 5 7 4" xfId="11059" xr:uid="{D8B48F8C-A5CA-4CF3-86A9-064C76977EE2}"/>
    <cellStyle name="Normal 4 2 2 5 8" xfId="4729" xr:uid="{00000000-0005-0000-0000-000009130000}"/>
    <cellStyle name="Normal 4 2 2 5 8 2" xfId="21664" xr:uid="{FFCDCD60-5D72-4FF7-B289-88460B4FFF76}"/>
    <cellStyle name="Normal 4 2 2 5 8 3" xfId="13223" xr:uid="{5840DEC3-D735-4348-AE8C-86619D7A0F80}"/>
    <cellStyle name="Normal 4 2 2 5 9" xfId="17446" xr:uid="{663691E5-D6C7-40B9-8CFA-46AC3A4D651E}"/>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4224" xr:uid="{982DD09D-DFF7-4619-B282-3048C19D0389}"/>
    <cellStyle name="Normal 4 2 2 6 2 2 2 3" xfId="15783" xr:uid="{E33D0A9B-DD50-428D-B919-57C4B7BFE546}"/>
    <cellStyle name="Normal 4 2 2 6 2 2 3" xfId="20006" xr:uid="{3B99CF69-6A11-40BF-A982-C2687C31B72F}"/>
    <cellStyle name="Normal 4 2 2 6 2 2 4" xfId="11564" xr:uid="{17178124-1531-498A-B1EB-4EF6E6146744}"/>
    <cellStyle name="Normal 4 2 2 6 2 3" xfId="5144" xr:uid="{00000000-0005-0000-0000-00000E130000}"/>
    <cellStyle name="Normal 4 2 2 6 2 3 2" xfId="22079" xr:uid="{1E6F90CF-CED7-4703-A6DF-8A6F7F9DFF08}"/>
    <cellStyle name="Normal 4 2 2 6 2 3 3" xfId="13638" xr:uid="{EA98F689-2038-43A1-8534-15A2DA827848}"/>
    <cellStyle name="Normal 4 2 2 6 2 4" xfId="17861" xr:uid="{C47F4109-B5A6-4E35-BF24-A9E7B46359FE}"/>
    <cellStyle name="Normal 4 2 2 6 2 5" xfId="9387" xr:uid="{9937D5AA-B304-43A0-B911-D6E15F066675}"/>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4637" xr:uid="{2A975661-0965-45C6-BE73-8B121FC99CA2}"/>
    <cellStyle name="Normal 4 2 2 6 3 2 2 3" xfId="16196" xr:uid="{43287B76-84F9-4123-B325-F962C58870ED}"/>
    <cellStyle name="Normal 4 2 2 6 3 2 3" xfId="20419" xr:uid="{0CE3DFD6-3777-41BB-8ACF-85599A191E20}"/>
    <cellStyle name="Normal 4 2 2 6 3 2 4" xfId="11977" xr:uid="{0236C606-AD40-4431-B708-2FE8FAACDFCF}"/>
    <cellStyle name="Normal 4 2 2 6 3 3" xfId="5557" xr:uid="{00000000-0005-0000-0000-000012130000}"/>
    <cellStyle name="Normal 4 2 2 6 3 3 2" xfId="22492" xr:uid="{211FE7EE-DC1C-41AF-B1AA-8257B0B5CFB9}"/>
    <cellStyle name="Normal 4 2 2 6 3 3 3" xfId="14051" xr:uid="{D8D4F44A-6E59-4106-AD35-427BB0692614}"/>
    <cellStyle name="Normal 4 2 2 6 3 4" xfId="18274" xr:uid="{47189038-4963-441D-BE50-07F88A24D33E}"/>
    <cellStyle name="Normal 4 2 2 6 3 5" xfId="9800" xr:uid="{2058E96D-A965-42E6-B29B-FA30B8306980}"/>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050" xr:uid="{BFFC16B0-ADD7-4F47-8598-374BD5F1500A}"/>
    <cellStyle name="Normal 4 2 2 6 4 2 2 3" xfId="16609" xr:uid="{E1262827-EDC5-43DB-8AC2-6CFF6597961A}"/>
    <cellStyle name="Normal 4 2 2 6 4 2 3" xfId="20832" xr:uid="{E388EEFC-1613-472E-9101-EE1BD702F59E}"/>
    <cellStyle name="Normal 4 2 2 6 4 2 4" xfId="12390" xr:uid="{25666AFF-C30D-410E-AE3D-B99D1E12606A}"/>
    <cellStyle name="Normal 4 2 2 6 4 3" xfId="5970" xr:uid="{00000000-0005-0000-0000-000016130000}"/>
    <cellStyle name="Normal 4 2 2 6 4 3 2" xfId="22905" xr:uid="{CE810A08-3F1A-4456-B1E6-1F0F311A6598}"/>
    <cellStyle name="Normal 4 2 2 6 4 3 3" xfId="14464" xr:uid="{4C4AC96D-7740-43D4-BBB6-9864EB7A18C4}"/>
    <cellStyle name="Normal 4 2 2 6 4 4" xfId="18687" xr:uid="{0C5761C3-B560-400B-8871-0678E7F83AFF}"/>
    <cellStyle name="Normal 4 2 2 6 4 5" xfId="10213" xr:uid="{79297E36-530C-4546-94B6-C5A130876767}"/>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5463" xr:uid="{9AEC8402-AB86-4BB8-8A8B-1CB5D4F395D6}"/>
    <cellStyle name="Normal 4 2 2 6 5 2 2 3" xfId="17022" xr:uid="{E5320F04-87FF-4439-8C2E-DF5E75116EA7}"/>
    <cellStyle name="Normal 4 2 2 6 5 2 3" xfId="21245" xr:uid="{558F8057-D6C1-4004-90EF-A54A7E50CE65}"/>
    <cellStyle name="Normal 4 2 2 6 5 2 4" xfId="12803" xr:uid="{37D04DB5-3279-4A4F-8962-F7716F8747F9}"/>
    <cellStyle name="Normal 4 2 2 6 5 3" xfId="6383" xr:uid="{00000000-0005-0000-0000-00001A130000}"/>
    <cellStyle name="Normal 4 2 2 6 5 3 2" xfId="23318" xr:uid="{6DFC6617-6238-4073-98E7-07C927C7A81B}"/>
    <cellStyle name="Normal 4 2 2 6 5 3 3" xfId="14877" xr:uid="{522A1B15-F2CA-478F-B6D2-3BCB8E4C42C0}"/>
    <cellStyle name="Normal 4 2 2 6 5 4" xfId="19100" xr:uid="{938CDE06-BB60-4CB7-908E-94D479DF35F2}"/>
    <cellStyle name="Normal 4 2 2 6 5 5" xfId="10626" xr:uid="{0AD71A8E-69A4-4C9B-B206-8E09B5A47EDB}"/>
    <cellStyle name="Normal 4 2 2 6 6" xfId="2513" xr:uid="{00000000-0005-0000-0000-00001B130000}"/>
    <cellStyle name="Normal 4 2 2 6 6 2" xfId="6796" xr:uid="{00000000-0005-0000-0000-00001C130000}"/>
    <cellStyle name="Normal 4 2 2 6 6 2 2" xfId="23731" xr:uid="{6C7D21F4-E996-4E3D-856E-53202B151596}"/>
    <cellStyle name="Normal 4 2 2 6 6 2 3" xfId="15290" xr:uid="{CD2213E3-4CE9-4BEA-BE44-EBD92585EFD9}"/>
    <cellStyle name="Normal 4 2 2 6 6 3" xfId="19513" xr:uid="{E136FC07-CEC1-40C6-8B42-0F2BC82D9AA2}"/>
    <cellStyle name="Normal 4 2 2 6 6 4" xfId="11061" xr:uid="{A55C8D9B-3858-4CE1-B0FF-FD00B04E74D8}"/>
    <cellStyle name="Normal 4 2 2 6 7" xfId="4731" xr:uid="{00000000-0005-0000-0000-00001D130000}"/>
    <cellStyle name="Normal 4 2 2 6 7 2" xfId="21666" xr:uid="{96EEBFD4-4E2D-472B-A66A-A492CE33478B}"/>
    <cellStyle name="Normal 4 2 2 6 7 3" xfId="13225" xr:uid="{EA93C668-746A-47F5-9AF8-682C5F9D4049}"/>
    <cellStyle name="Normal 4 2 2 6 8" xfId="17448" xr:uid="{F7F2C341-099E-4505-B72E-F61798ABA1BD}"/>
    <cellStyle name="Normal 4 2 2 6 9" xfId="8973" xr:uid="{49822698-7AD8-489E-A503-E5C2B6ED7004}"/>
    <cellStyle name="Normal 4 2 2 7" xfId="815" xr:uid="{00000000-0005-0000-0000-00001E130000}"/>
    <cellStyle name="Normal 4 2 2 7 2" xfId="3052" xr:uid="{00000000-0005-0000-0000-00001F130000}"/>
    <cellStyle name="Normal 4 2 2 7 2 2" xfId="7274" xr:uid="{00000000-0005-0000-0000-000020130000}"/>
    <cellStyle name="Normal 4 2 2 7 2 2 2" xfId="24209" xr:uid="{890BF94B-1FBB-45ED-8AE4-F4E922CB0C6B}"/>
    <cellStyle name="Normal 4 2 2 7 2 2 3" xfId="15768" xr:uid="{5B6547E4-AFED-4E3E-93F0-A743BD3E1D59}"/>
    <cellStyle name="Normal 4 2 2 7 2 3" xfId="19991" xr:uid="{008A4640-0365-4C69-B9EA-EB7557014BA6}"/>
    <cellStyle name="Normal 4 2 2 7 2 4" xfId="11549" xr:uid="{64C10000-281D-4C8B-A581-B97EB7742555}"/>
    <cellStyle name="Normal 4 2 2 7 3" xfId="5129" xr:uid="{00000000-0005-0000-0000-000021130000}"/>
    <cellStyle name="Normal 4 2 2 7 3 2" xfId="22064" xr:uid="{7D8798BB-4CC8-4C63-880E-EF56EE8CA470}"/>
    <cellStyle name="Normal 4 2 2 7 3 3" xfId="13623" xr:uid="{2EB959EF-62ED-4ADB-8008-7F1AB316E65C}"/>
    <cellStyle name="Normal 4 2 2 7 4" xfId="17846" xr:uid="{3C0F13DB-AD2C-417E-A5BB-6CF5D91AF709}"/>
    <cellStyle name="Normal 4 2 2 7 5" xfId="9372" xr:uid="{4B245E55-30E1-40D4-AC44-079F4795F790}"/>
    <cellStyle name="Normal 4 2 2 8" xfId="1235" xr:uid="{00000000-0005-0000-0000-000022130000}"/>
    <cellStyle name="Normal 4 2 2 8 2" xfId="3465" xr:uid="{00000000-0005-0000-0000-000023130000}"/>
    <cellStyle name="Normal 4 2 2 8 2 2" xfId="7687" xr:uid="{00000000-0005-0000-0000-000024130000}"/>
    <cellStyle name="Normal 4 2 2 8 2 2 2" xfId="24622" xr:uid="{7DCEB12E-0AB4-4DE9-AC30-48B203A2A8EC}"/>
    <cellStyle name="Normal 4 2 2 8 2 2 3" xfId="16181" xr:uid="{48E3842B-B5F3-4C0A-828D-88508FBB0A66}"/>
    <cellStyle name="Normal 4 2 2 8 2 3" xfId="20404" xr:uid="{AFBD5C8B-62C6-46C0-932A-6177F4B775F5}"/>
    <cellStyle name="Normal 4 2 2 8 2 4" xfId="11962" xr:uid="{C1269AD7-841D-461D-9BAE-3BADBCF01CC0}"/>
    <cellStyle name="Normal 4 2 2 8 3" xfId="5542" xr:uid="{00000000-0005-0000-0000-000025130000}"/>
    <cellStyle name="Normal 4 2 2 8 3 2" xfId="22477" xr:uid="{2BE0A0D6-C135-46E2-9594-69C8094E3D67}"/>
    <cellStyle name="Normal 4 2 2 8 3 3" xfId="14036" xr:uid="{CA382ABF-829D-4298-90CC-E1A7227016FB}"/>
    <cellStyle name="Normal 4 2 2 8 4" xfId="18259" xr:uid="{4C7B7DCA-76FD-4184-9FCB-DB2C1FF18050}"/>
    <cellStyle name="Normal 4 2 2 8 5" xfId="9785" xr:uid="{6E43F82A-3DB4-443B-B07C-C12E3955536A}"/>
    <cellStyle name="Normal 4 2 2 9" xfId="1648" xr:uid="{00000000-0005-0000-0000-000026130000}"/>
    <cellStyle name="Normal 4 2 2 9 2" xfId="3878" xr:uid="{00000000-0005-0000-0000-000027130000}"/>
    <cellStyle name="Normal 4 2 2 9 2 2" xfId="8100" xr:uid="{00000000-0005-0000-0000-000028130000}"/>
    <cellStyle name="Normal 4 2 2 9 2 2 2" xfId="25035" xr:uid="{40C1A843-BF1A-468C-A76B-9C3EDBAA0246}"/>
    <cellStyle name="Normal 4 2 2 9 2 2 3" xfId="16594" xr:uid="{50273177-BD43-44B9-9D9A-59CAA25F69E0}"/>
    <cellStyle name="Normal 4 2 2 9 2 3" xfId="20817" xr:uid="{F0BE26E2-8AB8-434C-8E1F-409D4B34A71D}"/>
    <cellStyle name="Normal 4 2 2 9 2 4" xfId="12375" xr:uid="{998C37F4-2DB1-4904-A332-2ADF67CFF4A1}"/>
    <cellStyle name="Normal 4 2 2 9 3" xfId="5955" xr:uid="{00000000-0005-0000-0000-000029130000}"/>
    <cellStyle name="Normal 4 2 2 9 3 2" xfId="22890" xr:uid="{4FCF8698-9F0A-4B1F-82F9-BB291266E0F9}"/>
    <cellStyle name="Normal 4 2 2 9 3 3" xfId="14449" xr:uid="{8D41B9D3-C545-47E1-ABFE-94AEDAFCDBF6}"/>
    <cellStyle name="Normal 4 2 2 9 4" xfId="18672" xr:uid="{845F7DEF-AF5F-4C54-A3A9-169DC84C769A}"/>
    <cellStyle name="Normal 4 2 2 9 5" xfId="10198" xr:uid="{2400F199-583F-4498-A7F9-D8263D7B546F}"/>
    <cellStyle name="Normal 4 2 3" xfId="354" xr:uid="{00000000-0005-0000-0000-00002A130000}"/>
    <cellStyle name="Normal 4 2 4" xfId="355" xr:uid="{00000000-0005-0000-0000-00002B130000}"/>
    <cellStyle name="Normal 4 2 4 10" xfId="4732" xr:uid="{00000000-0005-0000-0000-00002C130000}"/>
    <cellStyle name="Normal 4 2 4 10 2" xfId="21667" xr:uid="{60358C71-1405-42AD-92E2-45C151D0BEF3}"/>
    <cellStyle name="Normal 4 2 4 10 3" xfId="13226" xr:uid="{F1B72F22-CDF9-4CAE-98CD-0291395CFC3F}"/>
    <cellStyle name="Normal 4 2 4 11" xfId="17449" xr:uid="{CEE8EB55-59E8-4448-B7C0-3F458DB45E1B}"/>
    <cellStyle name="Normal 4 2 4 12" xfId="8974" xr:uid="{302C09B1-E5FA-43EC-9CFD-947DCE3308F8}"/>
    <cellStyle name="Normal 4 2 4 2" xfId="356" xr:uid="{00000000-0005-0000-0000-00002D130000}"/>
    <cellStyle name="Normal 4 2 4 2 10" xfId="17450" xr:uid="{3BEDF2D7-45D9-4CD5-A503-148AAE2E273C}"/>
    <cellStyle name="Normal 4 2 4 2 11" xfId="8975" xr:uid="{1D53D2E8-53DB-457C-B706-DEA1FE28C045}"/>
    <cellStyle name="Normal 4 2 4 2 2" xfId="357" xr:uid="{00000000-0005-0000-0000-00002E130000}"/>
    <cellStyle name="Normal 4 2 4 2 2 10" xfId="8976" xr:uid="{660AEC70-78FB-4F25-8A7B-5BE4B9B395BC}"/>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4228" xr:uid="{E0F67AA4-8260-4D7A-B7FF-CA3E09201D97}"/>
    <cellStyle name="Normal 4 2 4 2 2 2 2 2 2 3" xfId="15787" xr:uid="{DBC8DC4E-942A-422C-82FF-F206C36710FD}"/>
    <cellStyle name="Normal 4 2 4 2 2 2 2 2 3" xfId="20010" xr:uid="{D62A1AC9-3037-4100-9AA2-C222BF535163}"/>
    <cellStyle name="Normal 4 2 4 2 2 2 2 2 4" xfId="11568" xr:uid="{A343A03C-363D-4FD3-BB24-4BD7329666EA}"/>
    <cellStyle name="Normal 4 2 4 2 2 2 2 3" xfId="5148" xr:uid="{00000000-0005-0000-0000-000033130000}"/>
    <cellStyle name="Normal 4 2 4 2 2 2 2 3 2" xfId="22083" xr:uid="{3D5EFFD9-D89F-45D4-9C10-B561530B1E94}"/>
    <cellStyle name="Normal 4 2 4 2 2 2 2 3 3" xfId="13642" xr:uid="{43A4D359-99DF-4D4F-AA92-0408A15B021A}"/>
    <cellStyle name="Normal 4 2 4 2 2 2 2 4" xfId="17865" xr:uid="{39E8A961-F38A-475F-BF27-447C14BC3D2E}"/>
    <cellStyle name="Normal 4 2 4 2 2 2 2 5" xfId="9391" xr:uid="{33596FF6-C9F8-496D-8322-079A53613B2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4641" xr:uid="{505AB0F4-06A5-44A4-B1E8-7563E0E71140}"/>
    <cellStyle name="Normal 4 2 4 2 2 2 3 2 2 3" xfId="16200" xr:uid="{237A54B5-FE0B-4F8A-B557-863E25257D2A}"/>
    <cellStyle name="Normal 4 2 4 2 2 2 3 2 3" xfId="20423" xr:uid="{57A08D3A-6E06-4FCA-A9D4-B468631F6C23}"/>
    <cellStyle name="Normal 4 2 4 2 2 2 3 2 4" xfId="11981" xr:uid="{5E92039F-B974-48D3-801C-28D83A467920}"/>
    <cellStyle name="Normal 4 2 4 2 2 2 3 3" xfId="5561" xr:uid="{00000000-0005-0000-0000-000037130000}"/>
    <cellStyle name="Normal 4 2 4 2 2 2 3 3 2" xfId="22496" xr:uid="{E4777B6C-9CB3-4560-A974-FFF0E1119EC3}"/>
    <cellStyle name="Normal 4 2 4 2 2 2 3 3 3" xfId="14055" xr:uid="{7DC7A0A3-D67C-491B-A1C0-ED825405FCC7}"/>
    <cellStyle name="Normal 4 2 4 2 2 2 3 4" xfId="18278" xr:uid="{43DE617E-785C-48F6-A733-222BC6E7312D}"/>
    <cellStyle name="Normal 4 2 4 2 2 2 3 5" xfId="9804" xr:uid="{A1C807E2-24E1-41D6-A07A-E0AF7E8E6C36}"/>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054" xr:uid="{5219877D-5D1B-42CC-8776-25EA8BB07018}"/>
    <cellStyle name="Normal 4 2 4 2 2 2 4 2 2 3" xfId="16613" xr:uid="{AC3607E8-FC1D-4E51-B501-833F089C7154}"/>
    <cellStyle name="Normal 4 2 4 2 2 2 4 2 3" xfId="20836" xr:uid="{31B62D3D-5F61-4F2C-A219-212A31E5E50B}"/>
    <cellStyle name="Normal 4 2 4 2 2 2 4 2 4" xfId="12394" xr:uid="{D57A507A-6C40-4D81-A689-85A73FDDD0C7}"/>
    <cellStyle name="Normal 4 2 4 2 2 2 4 3" xfId="5974" xr:uid="{00000000-0005-0000-0000-00003B130000}"/>
    <cellStyle name="Normal 4 2 4 2 2 2 4 3 2" xfId="22909" xr:uid="{7DD2B387-7E5D-43B4-9CC4-34D128D357D2}"/>
    <cellStyle name="Normal 4 2 4 2 2 2 4 3 3" xfId="14468" xr:uid="{297FF709-FC25-45E5-BFED-029491D45341}"/>
    <cellStyle name="Normal 4 2 4 2 2 2 4 4" xfId="18691" xr:uid="{33F785D5-F58E-40AF-8451-C7A6D0D27981}"/>
    <cellStyle name="Normal 4 2 4 2 2 2 4 5" xfId="10217" xr:uid="{A5BDBA3C-C40E-4708-B23A-D9C5C31A2A7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5467" xr:uid="{86FD2604-31AC-4C64-A4D7-59E5627CDDD9}"/>
    <cellStyle name="Normal 4 2 4 2 2 2 5 2 2 3" xfId="17026" xr:uid="{66976D6E-EC73-487E-87CC-0C3B8E28B9E3}"/>
    <cellStyle name="Normal 4 2 4 2 2 2 5 2 3" xfId="21249" xr:uid="{C5CB5702-519C-44C2-984F-368E038F7491}"/>
    <cellStyle name="Normal 4 2 4 2 2 2 5 2 4" xfId="12807" xr:uid="{71CCA082-FE88-4A9F-8003-0E62AA5970F4}"/>
    <cellStyle name="Normal 4 2 4 2 2 2 5 3" xfId="6387" xr:uid="{00000000-0005-0000-0000-00003F130000}"/>
    <cellStyle name="Normal 4 2 4 2 2 2 5 3 2" xfId="23322" xr:uid="{E20FEC5F-687A-4950-83BE-603510BBE6EE}"/>
    <cellStyle name="Normal 4 2 4 2 2 2 5 3 3" xfId="14881" xr:uid="{D9376DB2-A9BD-4CE4-B8DC-627DCD6585AF}"/>
    <cellStyle name="Normal 4 2 4 2 2 2 5 4" xfId="19104" xr:uid="{765F8B0F-E52E-426C-B71C-BB7FD9C61DC1}"/>
    <cellStyle name="Normal 4 2 4 2 2 2 5 5" xfId="10630" xr:uid="{995E0B56-DD3F-4A56-9361-3B83C4DEB41D}"/>
    <cellStyle name="Normal 4 2 4 2 2 2 6" xfId="2517" xr:uid="{00000000-0005-0000-0000-000040130000}"/>
    <cellStyle name="Normal 4 2 4 2 2 2 6 2" xfId="6800" xr:uid="{00000000-0005-0000-0000-000041130000}"/>
    <cellStyle name="Normal 4 2 4 2 2 2 6 2 2" xfId="23735" xr:uid="{8BF2B775-206C-41E5-A97A-C8B6741DD667}"/>
    <cellStyle name="Normal 4 2 4 2 2 2 6 2 3" xfId="15294" xr:uid="{74B26C5E-15A5-4C9F-93BE-59A6327E3AB5}"/>
    <cellStyle name="Normal 4 2 4 2 2 2 6 3" xfId="19517" xr:uid="{C32F066D-A920-4CB6-9B6D-9ADF9529B659}"/>
    <cellStyle name="Normal 4 2 4 2 2 2 6 4" xfId="11065" xr:uid="{54471FAB-A8F7-42FD-899C-265F85CB3EE8}"/>
    <cellStyle name="Normal 4 2 4 2 2 2 7" xfId="4735" xr:uid="{00000000-0005-0000-0000-000042130000}"/>
    <cellStyle name="Normal 4 2 4 2 2 2 7 2" xfId="21670" xr:uid="{6DCE70C6-C89E-45ED-AC1C-C6BA9549D539}"/>
    <cellStyle name="Normal 4 2 4 2 2 2 7 3" xfId="13229" xr:uid="{AB5C2CE8-533E-4D0F-BD5B-CA1DF54780EC}"/>
    <cellStyle name="Normal 4 2 4 2 2 2 8" xfId="17452" xr:uid="{D382CB51-23EA-476E-8225-21C33076C14F}"/>
    <cellStyle name="Normal 4 2 4 2 2 2 9" xfId="8977" xr:uid="{39E11738-A909-4AE5-A7DB-0139990A8088}"/>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4227" xr:uid="{EF74CC51-22BB-4C28-AB54-45655C8E0261}"/>
    <cellStyle name="Normal 4 2 4 2 2 3 2 2 3" xfId="15786" xr:uid="{193BD9CD-7DBD-4F19-BB95-80AAA693AC73}"/>
    <cellStyle name="Normal 4 2 4 2 2 3 2 3" xfId="20009" xr:uid="{93DC8AD8-032E-4995-98DA-4EB55FCC1B0D}"/>
    <cellStyle name="Normal 4 2 4 2 2 3 2 4" xfId="11567" xr:uid="{6F5E6D07-D87E-49B4-90D5-9377C53485F7}"/>
    <cellStyle name="Normal 4 2 4 2 2 3 3" xfId="5147" xr:uid="{00000000-0005-0000-0000-000046130000}"/>
    <cellStyle name="Normal 4 2 4 2 2 3 3 2" xfId="22082" xr:uid="{B385432C-B730-42DB-A984-BF1A5626884E}"/>
    <cellStyle name="Normal 4 2 4 2 2 3 3 3" xfId="13641" xr:uid="{983E6514-7F67-4686-9C76-18F01045227C}"/>
    <cellStyle name="Normal 4 2 4 2 2 3 4" xfId="17864" xr:uid="{4865C139-2BBA-4B21-9B18-92C0FBB58127}"/>
    <cellStyle name="Normal 4 2 4 2 2 3 5" xfId="9390" xr:uid="{91A0C15A-9A92-4BA1-B83A-68A39FF0893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4640" xr:uid="{42BDCB6E-F7AB-441F-9D3E-70EAAE98140A}"/>
    <cellStyle name="Normal 4 2 4 2 2 4 2 2 3" xfId="16199" xr:uid="{4F0424AF-EC8B-4F7B-BF3A-B5C626725274}"/>
    <cellStyle name="Normal 4 2 4 2 2 4 2 3" xfId="20422" xr:uid="{CBC2F1F1-85AE-4D62-8C01-D9B86A12A2E9}"/>
    <cellStyle name="Normal 4 2 4 2 2 4 2 4" xfId="11980" xr:uid="{8C00C09A-2062-48D8-AAC1-EE09E1C88193}"/>
    <cellStyle name="Normal 4 2 4 2 2 4 3" xfId="5560" xr:uid="{00000000-0005-0000-0000-00004A130000}"/>
    <cellStyle name="Normal 4 2 4 2 2 4 3 2" xfId="22495" xr:uid="{DF122EE5-63D7-4094-9203-87F83659D101}"/>
    <cellStyle name="Normal 4 2 4 2 2 4 3 3" xfId="14054" xr:uid="{A4125AB6-5558-4D84-A0D2-6718DCD12CC7}"/>
    <cellStyle name="Normal 4 2 4 2 2 4 4" xfId="18277" xr:uid="{3181427F-990D-493F-8E53-C3489B1D8FA5}"/>
    <cellStyle name="Normal 4 2 4 2 2 4 5" xfId="9803" xr:uid="{60485235-6C5A-43FE-8863-116034F13209}"/>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053" xr:uid="{4D72EE95-7F5B-4153-B1D4-BCEC49EC817C}"/>
    <cellStyle name="Normal 4 2 4 2 2 5 2 2 3" xfId="16612" xr:uid="{6C4EF4D1-5F13-48D1-B0B0-F0CB1A05164F}"/>
    <cellStyle name="Normal 4 2 4 2 2 5 2 3" xfId="20835" xr:uid="{228E668A-83F3-4FA6-96B8-E5C62741A816}"/>
    <cellStyle name="Normal 4 2 4 2 2 5 2 4" xfId="12393" xr:uid="{A653A669-AE48-4D22-8322-61B89FA2E083}"/>
    <cellStyle name="Normal 4 2 4 2 2 5 3" xfId="5973" xr:uid="{00000000-0005-0000-0000-00004E130000}"/>
    <cellStyle name="Normal 4 2 4 2 2 5 3 2" xfId="22908" xr:uid="{3D33B3D0-8581-4236-BE9C-C9F9BFB8CDBF}"/>
    <cellStyle name="Normal 4 2 4 2 2 5 3 3" xfId="14467" xr:uid="{5EF15334-4C29-456E-BDDF-06753991566A}"/>
    <cellStyle name="Normal 4 2 4 2 2 5 4" xfId="18690" xr:uid="{550BE716-4D1B-40E5-943C-4E985147E48A}"/>
    <cellStyle name="Normal 4 2 4 2 2 5 5" xfId="10216" xr:uid="{C135EF17-9FDD-4BC1-842F-89F1B6F14414}"/>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5466" xr:uid="{09E563C7-BE47-4464-9E6C-BA52DE54FC6F}"/>
    <cellStyle name="Normal 4 2 4 2 2 6 2 2 3" xfId="17025" xr:uid="{AE486AD5-39C9-43EF-A06C-FCDFC3CBE924}"/>
    <cellStyle name="Normal 4 2 4 2 2 6 2 3" xfId="21248" xr:uid="{45D4EEDE-8962-40B4-A930-F53348333291}"/>
    <cellStyle name="Normal 4 2 4 2 2 6 2 4" xfId="12806" xr:uid="{1277120D-7E2B-4602-96CC-9187D09A3DC2}"/>
    <cellStyle name="Normal 4 2 4 2 2 6 3" xfId="6386" xr:uid="{00000000-0005-0000-0000-000052130000}"/>
    <cellStyle name="Normal 4 2 4 2 2 6 3 2" xfId="23321" xr:uid="{42866045-05D0-4626-BC56-73F1226A278E}"/>
    <cellStyle name="Normal 4 2 4 2 2 6 3 3" xfId="14880" xr:uid="{2F502ACB-A707-480C-8ACC-B199A8988ED1}"/>
    <cellStyle name="Normal 4 2 4 2 2 6 4" xfId="19103" xr:uid="{259DB002-571A-4CCC-A993-67AF162A732C}"/>
    <cellStyle name="Normal 4 2 4 2 2 6 5" xfId="10629" xr:uid="{DC4C8A61-0DCB-47CA-A536-1E3504B07A2A}"/>
    <cellStyle name="Normal 4 2 4 2 2 7" xfId="2516" xr:uid="{00000000-0005-0000-0000-000053130000}"/>
    <cellStyle name="Normal 4 2 4 2 2 7 2" xfId="6799" xr:uid="{00000000-0005-0000-0000-000054130000}"/>
    <cellStyle name="Normal 4 2 4 2 2 7 2 2" xfId="23734" xr:uid="{6E16E5E8-EEC5-48D4-A49A-D15B2CF0FC86}"/>
    <cellStyle name="Normal 4 2 4 2 2 7 2 3" xfId="15293" xr:uid="{72DAFCCB-0549-45A0-93FA-6BACD9B8CF9E}"/>
    <cellStyle name="Normal 4 2 4 2 2 7 3" xfId="19516" xr:uid="{A1482F07-9D6E-4D23-8A0F-2C7AA9373577}"/>
    <cellStyle name="Normal 4 2 4 2 2 7 4" xfId="11064" xr:uid="{44DA128A-F1D9-408C-AAAB-FEB993404DF1}"/>
    <cellStyle name="Normal 4 2 4 2 2 8" xfId="4734" xr:uid="{00000000-0005-0000-0000-000055130000}"/>
    <cellStyle name="Normal 4 2 4 2 2 8 2" xfId="21669" xr:uid="{085197DA-BB55-413F-A977-02C0C22E7FAA}"/>
    <cellStyle name="Normal 4 2 4 2 2 8 3" xfId="13228" xr:uid="{DEEDE97F-D571-4762-AD60-307779520E79}"/>
    <cellStyle name="Normal 4 2 4 2 2 9" xfId="17451" xr:uid="{7BAE767C-EBDD-40F1-9635-6977B2ABFF49}"/>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4229" xr:uid="{8BE3CB93-8763-42DE-8066-99BD23817778}"/>
    <cellStyle name="Normal 4 2 4 2 3 2 2 2 3" xfId="15788" xr:uid="{A7619F4C-FEE6-4D7D-97AB-392BBDC7892F}"/>
    <cellStyle name="Normal 4 2 4 2 3 2 2 3" xfId="20011" xr:uid="{471A4901-5D11-406E-B279-DBE9BFAF4C1A}"/>
    <cellStyle name="Normal 4 2 4 2 3 2 2 4" xfId="11569" xr:uid="{A6E21DE0-99F7-41D7-B067-31E4D9F6C415}"/>
    <cellStyle name="Normal 4 2 4 2 3 2 3" xfId="5149" xr:uid="{00000000-0005-0000-0000-00005A130000}"/>
    <cellStyle name="Normal 4 2 4 2 3 2 3 2" xfId="22084" xr:uid="{D4D7487C-DE53-434F-A971-21DF76A5DE62}"/>
    <cellStyle name="Normal 4 2 4 2 3 2 3 3" xfId="13643" xr:uid="{52FC9171-6088-46C4-B91C-360FA8507DA6}"/>
    <cellStyle name="Normal 4 2 4 2 3 2 4" xfId="17866" xr:uid="{54588095-C9FB-4663-B46F-6AAD23B28F07}"/>
    <cellStyle name="Normal 4 2 4 2 3 2 5" xfId="9392" xr:uid="{60D309DC-8770-4A45-847E-126A3369270C}"/>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4642" xr:uid="{39D4DAB3-978F-42CC-9849-F371D2A2C8F4}"/>
    <cellStyle name="Normal 4 2 4 2 3 3 2 2 3" xfId="16201" xr:uid="{ECCBC5EB-518C-4CCD-94F3-F9BEB76231DE}"/>
    <cellStyle name="Normal 4 2 4 2 3 3 2 3" xfId="20424" xr:uid="{286A2393-A45B-45D8-B2B3-565EE11F7189}"/>
    <cellStyle name="Normal 4 2 4 2 3 3 2 4" xfId="11982" xr:uid="{8F153E0C-7A06-4FB6-B299-1B8ABDE93029}"/>
    <cellStyle name="Normal 4 2 4 2 3 3 3" xfId="5562" xr:uid="{00000000-0005-0000-0000-00005E130000}"/>
    <cellStyle name="Normal 4 2 4 2 3 3 3 2" xfId="22497" xr:uid="{C2A77B39-D335-4FE3-96AF-8F8AEC6A7710}"/>
    <cellStyle name="Normal 4 2 4 2 3 3 3 3" xfId="14056" xr:uid="{F6E438EA-9ECD-41E0-AFB9-D16AC09D18F0}"/>
    <cellStyle name="Normal 4 2 4 2 3 3 4" xfId="18279" xr:uid="{D736AE18-A1AB-428B-9A20-FEED605DEB62}"/>
    <cellStyle name="Normal 4 2 4 2 3 3 5" xfId="9805" xr:uid="{673C834B-49A6-4387-AF12-32E62EF2A863}"/>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055" xr:uid="{0D273D2C-4FA3-474D-A195-4A153D75B59A}"/>
    <cellStyle name="Normal 4 2 4 2 3 4 2 2 3" xfId="16614" xr:uid="{F715D4B2-0801-4BDA-AAE4-E9A57C36A44D}"/>
    <cellStyle name="Normal 4 2 4 2 3 4 2 3" xfId="20837" xr:uid="{B22ABB51-6EC6-4660-8444-580C62B8F214}"/>
    <cellStyle name="Normal 4 2 4 2 3 4 2 4" xfId="12395" xr:uid="{55ED3057-E06E-4834-96F0-B98EE7FDB90D}"/>
    <cellStyle name="Normal 4 2 4 2 3 4 3" xfId="5975" xr:uid="{00000000-0005-0000-0000-000062130000}"/>
    <cellStyle name="Normal 4 2 4 2 3 4 3 2" xfId="22910" xr:uid="{73B1AF26-159C-44A8-BBD9-22FAC2655A95}"/>
    <cellStyle name="Normal 4 2 4 2 3 4 3 3" xfId="14469" xr:uid="{1334FA23-CE3C-487E-AE70-0F3BFFFE7F53}"/>
    <cellStyle name="Normal 4 2 4 2 3 4 4" xfId="18692" xr:uid="{7152AA87-8E1E-415E-B4CC-F2BA2E6F9A8B}"/>
    <cellStyle name="Normal 4 2 4 2 3 4 5" xfId="10218" xr:uid="{71DFC449-AC72-4583-94B3-1EA3731002CE}"/>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5468" xr:uid="{2ED51AE8-653A-43A9-BF10-7A159B2326B4}"/>
    <cellStyle name="Normal 4 2 4 2 3 5 2 2 3" xfId="17027" xr:uid="{BFBC5D64-6C8A-4716-81D1-F65B55434535}"/>
    <cellStyle name="Normal 4 2 4 2 3 5 2 3" xfId="21250" xr:uid="{16BE1838-F32E-47F6-A544-89EB4407ABA9}"/>
    <cellStyle name="Normal 4 2 4 2 3 5 2 4" xfId="12808" xr:uid="{650886D7-3B9E-479C-B349-9F4C40244311}"/>
    <cellStyle name="Normal 4 2 4 2 3 5 3" xfId="6388" xr:uid="{00000000-0005-0000-0000-000066130000}"/>
    <cellStyle name="Normal 4 2 4 2 3 5 3 2" xfId="23323" xr:uid="{9F9A02B4-3EA7-4E3D-91A6-04B6AB675A36}"/>
    <cellStyle name="Normal 4 2 4 2 3 5 3 3" xfId="14882" xr:uid="{6A184267-8799-46FF-8832-7B45F60223E8}"/>
    <cellStyle name="Normal 4 2 4 2 3 5 4" xfId="19105" xr:uid="{5D84CB5B-980F-4A6F-8F76-0CCC9ABAEC75}"/>
    <cellStyle name="Normal 4 2 4 2 3 5 5" xfId="10631" xr:uid="{86B2DA88-CC55-4236-9D89-8B409C677135}"/>
    <cellStyle name="Normal 4 2 4 2 3 6" xfId="2518" xr:uid="{00000000-0005-0000-0000-000067130000}"/>
    <cellStyle name="Normal 4 2 4 2 3 6 2" xfId="6801" xr:uid="{00000000-0005-0000-0000-000068130000}"/>
    <cellStyle name="Normal 4 2 4 2 3 6 2 2" xfId="23736" xr:uid="{141E4EBE-0E60-4E58-A299-533F3F6002E2}"/>
    <cellStyle name="Normal 4 2 4 2 3 6 2 3" xfId="15295" xr:uid="{AAEF4F5B-228E-4D73-9030-505082E05980}"/>
    <cellStyle name="Normal 4 2 4 2 3 6 3" xfId="19518" xr:uid="{5DAEE945-385F-4548-89C5-63063ECAF6D6}"/>
    <cellStyle name="Normal 4 2 4 2 3 6 4" xfId="11066" xr:uid="{8336ED8E-6FAF-49E2-834E-8F3A03BB0A29}"/>
    <cellStyle name="Normal 4 2 4 2 3 7" xfId="4736" xr:uid="{00000000-0005-0000-0000-000069130000}"/>
    <cellStyle name="Normal 4 2 4 2 3 7 2" xfId="21671" xr:uid="{59DA1C9A-CB07-40A3-88A5-E5819D2C5E86}"/>
    <cellStyle name="Normal 4 2 4 2 3 7 3" xfId="13230" xr:uid="{D01EF793-0C01-44F9-BA1C-5F7AE1EF29A9}"/>
    <cellStyle name="Normal 4 2 4 2 3 8" xfId="17453" xr:uid="{33C9D9C5-0B13-4058-A907-68EB12657648}"/>
    <cellStyle name="Normal 4 2 4 2 3 9" xfId="8978" xr:uid="{6804574F-64EE-445D-9B71-9C96755E7795}"/>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4226" xr:uid="{444A2FDA-4AD3-48E7-85CD-FB814C4BA161}"/>
    <cellStyle name="Normal 4 2 4 2 4 2 2 3" xfId="15785" xr:uid="{9C2BF1F6-773A-4B19-8445-6D3AAB138F2A}"/>
    <cellStyle name="Normal 4 2 4 2 4 2 3" xfId="20008" xr:uid="{89531708-F296-4FE2-A8F2-732BE3C626E8}"/>
    <cellStyle name="Normal 4 2 4 2 4 2 4" xfId="11566" xr:uid="{1CDD7C09-9CCA-444A-8FDF-96442E4D479C}"/>
    <cellStyle name="Normal 4 2 4 2 4 3" xfId="5146" xr:uid="{00000000-0005-0000-0000-00006D130000}"/>
    <cellStyle name="Normal 4 2 4 2 4 3 2" xfId="22081" xr:uid="{6B0701E5-288E-446B-A796-3C089E9F2470}"/>
    <cellStyle name="Normal 4 2 4 2 4 3 3" xfId="13640" xr:uid="{55071135-1D68-4FDD-94D2-FEE44440595F}"/>
    <cellStyle name="Normal 4 2 4 2 4 4" xfId="17863" xr:uid="{4A0BC295-0F6A-49BC-946F-283360CBCB6B}"/>
    <cellStyle name="Normal 4 2 4 2 4 5" xfId="9389" xr:uid="{80A6ED7D-0DF3-447A-A061-9D85309432BB}"/>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4639" xr:uid="{28BA4A5D-8336-43E4-981D-0D21F2A47CA3}"/>
    <cellStyle name="Normal 4 2 4 2 5 2 2 3" xfId="16198" xr:uid="{2F37AED3-FDA4-41BC-BEEE-EA9041708E30}"/>
    <cellStyle name="Normal 4 2 4 2 5 2 3" xfId="20421" xr:uid="{9C5B8263-E0A3-4DD1-BFAC-E058812BCCD4}"/>
    <cellStyle name="Normal 4 2 4 2 5 2 4" xfId="11979" xr:uid="{0440FE94-6B53-4761-971C-0AE5C19033B9}"/>
    <cellStyle name="Normal 4 2 4 2 5 3" xfId="5559" xr:uid="{00000000-0005-0000-0000-000071130000}"/>
    <cellStyle name="Normal 4 2 4 2 5 3 2" xfId="22494" xr:uid="{11845DE6-B6D0-4312-8477-F5CC88F1882A}"/>
    <cellStyle name="Normal 4 2 4 2 5 3 3" xfId="14053" xr:uid="{2363AE1E-1C95-4F70-A859-52B572DD8D9B}"/>
    <cellStyle name="Normal 4 2 4 2 5 4" xfId="18276" xr:uid="{5FA81C93-229E-44AE-A9C7-BE609DC5B4C1}"/>
    <cellStyle name="Normal 4 2 4 2 5 5" xfId="9802" xr:uid="{752A83B8-975F-4A5C-AC9F-C16111B0058B}"/>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052" xr:uid="{D5213605-63CE-4857-9EAB-D070FFF64727}"/>
    <cellStyle name="Normal 4 2 4 2 6 2 2 3" xfId="16611" xr:uid="{91C3AEA1-E84D-4D20-973A-C7C672914777}"/>
    <cellStyle name="Normal 4 2 4 2 6 2 3" xfId="20834" xr:uid="{6F5C6432-502B-4F1C-9FAC-478A7E6F43F4}"/>
    <cellStyle name="Normal 4 2 4 2 6 2 4" xfId="12392" xr:uid="{3D5236DC-6749-46B2-8F83-FC457578AD3C}"/>
    <cellStyle name="Normal 4 2 4 2 6 3" xfId="5972" xr:uid="{00000000-0005-0000-0000-000075130000}"/>
    <cellStyle name="Normal 4 2 4 2 6 3 2" xfId="22907" xr:uid="{A015D17E-7204-464A-96FA-0ECE0380B8BE}"/>
    <cellStyle name="Normal 4 2 4 2 6 3 3" xfId="14466" xr:uid="{9EF04F95-1EA2-4F43-9A1D-AF9CACEAF1DA}"/>
    <cellStyle name="Normal 4 2 4 2 6 4" xfId="18689" xr:uid="{BA404EF4-3A74-434F-933E-D115FBB84275}"/>
    <cellStyle name="Normal 4 2 4 2 6 5" xfId="10215" xr:uid="{F5A24771-3557-4E69-BD93-6C0E4555ED26}"/>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5465" xr:uid="{3C72A3AA-A1A2-442F-B267-FD6C74D96884}"/>
    <cellStyle name="Normal 4 2 4 2 7 2 2 3" xfId="17024" xr:uid="{C15F63A2-2B9D-4541-A060-97DD5E2ABB30}"/>
    <cellStyle name="Normal 4 2 4 2 7 2 3" xfId="21247" xr:uid="{5393FD63-80DA-44F5-8FBD-1098B22C6756}"/>
    <cellStyle name="Normal 4 2 4 2 7 2 4" xfId="12805" xr:uid="{E7DB8A02-EBAA-4DDD-9E3C-98DA368B92D7}"/>
    <cellStyle name="Normal 4 2 4 2 7 3" xfId="6385" xr:uid="{00000000-0005-0000-0000-000079130000}"/>
    <cellStyle name="Normal 4 2 4 2 7 3 2" xfId="23320" xr:uid="{3AC8E563-B1F0-4DE1-AD8D-4B080ECAE3B8}"/>
    <cellStyle name="Normal 4 2 4 2 7 3 3" xfId="14879" xr:uid="{D75CB376-D9A8-42DA-817B-70226BACE9EF}"/>
    <cellStyle name="Normal 4 2 4 2 7 4" xfId="19102" xr:uid="{CBF78894-2630-48A0-A53D-16E9A397BA69}"/>
    <cellStyle name="Normal 4 2 4 2 7 5" xfId="10628" xr:uid="{F9FC4C53-8CD1-4351-83EC-0FD57B0D375D}"/>
    <cellStyle name="Normal 4 2 4 2 8" xfId="2515" xr:uid="{00000000-0005-0000-0000-00007A130000}"/>
    <cellStyle name="Normal 4 2 4 2 8 2" xfId="6798" xr:uid="{00000000-0005-0000-0000-00007B130000}"/>
    <cellStyle name="Normal 4 2 4 2 8 2 2" xfId="23733" xr:uid="{D0979567-5D82-4D91-B430-94D02B16DE4D}"/>
    <cellStyle name="Normal 4 2 4 2 8 2 3" xfId="15292" xr:uid="{D3569F8D-04F9-44BD-9397-48A4E683F1A0}"/>
    <cellStyle name="Normal 4 2 4 2 8 3" xfId="19515" xr:uid="{DFC1EB46-E55A-4199-8F55-450F8C4E0B59}"/>
    <cellStyle name="Normal 4 2 4 2 8 4" xfId="11063" xr:uid="{AFEB61E9-EDAC-40AA-AAB7-7493422F3FBC}"/>
    <cellStyle name="Normal 4 2 4 2 9" xfId="4733" xr:uid="{00000000-0005-0000-0000-00007C130000}"/>
    <cellStyle name="Normal 4 2 4 2 9 2" xfId="21668" xr:uid="{555B14A4-67A1-4D56-98EB-DD35E0195B33}"/>
    <cellStyle name="Normal 4 2 4 2 9 3" xfId="13227" xr:uid="{7B8459E1-3C4F-4D26-AF7B-001C7301AF12}"/>
    <cellStyle name="Normal 4 2 4 3" xfId="360" xr:uid="{00000000-0005-0000-0000-00007D130000}"/>
    <cellStyle name="Normal 4 2 4 3 10" xfId="8979" xr:uid="{70A1E5DC-BACC-4DC5-BC3D-48554D95593E}"/>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4231" xr:uid="{C684B09C-05B4-4A6A-BDD2-7ECB90F79685}"/>
    <cellStyle name="Normal 4 2 4 3 2 2 2 2 3" xfId="15790" xr:uid="{4B90FB27-B272-4482-8884-6B4ED63406C7}"/>
    <cellStyle name="Normal 4 2 4 3 2 2 2 3" xfId="20013" xr:uid="{42B30657-C683-4AA1-9B81-0E4D3BB445D1}"/>
    <cellStyle name="Normal 4 2 4 3 2 2 2 4" xfId="11571" xr:uid="{EE5540F9-8631-4033-A2B5-DAC044295CE7}"/>
    <cellStyle name="Normal 4 2 4 3 2 2 3" xfId="5151" xr:uid="{00000000-0005-0000-0000-000082130000}"/>
    <cellStyle name="Normal 4 2 4 3 2 2 3 2" xfId="22086" xr:uid="{0FC348DC-DF0A-4916-A1AA-68345A08C38F}"/>
    <cellStyle name="Normal 4 2 4 3 2 2 3 3" xfId="13645" xr:uid="{744AB8E7-E7F5-40B7-8BEE-0F7B4D5FCC67}"/>
    <cellStyle name="Normal 4 2 4 3 2 2 4" xfId="17868" xr:uid="{4EE2D81C-B0DC-482F-9C74-9E0841F4031C}"/>
    <cellStyle name="Normal 4 2 4 3 2 2 5" xfId="9394" xr:uid="{0ADA7D0B-67CC-4E4F-A1B4-6D3D253D06E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4644" xr:uid="{A750C91F-9A51-49AA-BD4E-8408214157A2}"/>
    <cellStyle name="Normal 4 2 4 3 2 3 2 2 3" xfId="16203" xr:uid="{237E119E-11BE-446E-BECF-1C8C905338FA}"/>
    <cellStyle name="Normal 4 2 4 3 2 3 2 3" xfId="20426" xr:uid="{631634B8-FD5D-4C65-93EE-03BB96BE36EA}"/>
    <cellStyle name="Normal 4 2 4 3 2 3 2 4" xfId="11984" xr:uid="{AE03278A-2EE6-4503-875E-4DC90EF48FE0}"/>
    <cellStyle name="Normal 4 2 4 3 2 3 3" xfId="5564" xr:uid="{00000000-0005-0000-0000-000086130000}"/>
    <cellStyle name="Normal 4 2 4 3 2 3 3 2" xfId="22499" xr:uid="{B9A12298-2D49-4ECC-BFE2-1C2A83638FC8}"/>
    <cellStyle name="Normal 4 2 4 3 2 3 3 3" xfId="14058" xr:uid="{93893741-F616-4363-B345-7D297F3FC66F}"/>
    <cellStyle name="Normal 4 2 4 3 2 3 4" xfId="18281" xr:uid="{2ECED99F-26BD-45A2-9E1B-193786CA688B}"/>
    <cellStyle name="Normal 4 2 4 3 2 3 5" xfId="9807" xr:uid="{1AD22427-A7C0-4589-8232-0ACD29B8E6B7}"/>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057" xr:uid="{BA9378A7-A611-4908-AFF5-E8AE63A1E77A}"/>
    <cellStyle name="Normal 4 2 4 3 2 4 2 2 3" xfId="16616" xr:uid="{FD373DE2-428D-4295-854B-397A6742BCDE}"/>
    <cellStyle name="Normal 4 2 4 3 2 4 2 3" xfId="20839" xr:uid="{D271292F-67FD-4CFE-BF36-35ECD8198AEE}"/>
    <cellStyle name="Normal 4 2 4 3 2 4 2 4" xfId="12397" xr:uid="{068E5234-2DA0-4908-A7C1-2B5C64E06C30}"/>
    <cellStyle name="Normal 4 2 4 3 2 4 3" xfId="5977" xr:uid="{00000000-0005-0000-0000-00008A130000}"/>
    <cellStyle name="Normal 4 2 4 3 2 4 3 2" xfId="22912" xr:uid="{1E74BC5B-8976-4AE2-9B49-46B91DDEC9D9}"/>
    <cellStyle name="Normal 4 2 4 3 2 4 3 3" xfId="14471" xr:uid="{4BA31D88-87C8-40AA-B2D9-C64D509F9738}"/>
    <cellStyle name="Normal 4 2 4 3 2 4 4" xfId="18694" xr:uid="{657ADB91-234E-4DC6-A1ED-D7D3984EFF8D}"/>
    <cellStyle name="Normal 4 2 4 3 2 4 5" xfId="10220" xr:uid="{A9E1963F-899B-4AF8-B9FA-CB0F4C3280F5}"/>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5470" xr:uid="{755765D8-E12D-478D-9833-53273FD4E997}"/>
    <cellStyle name="Normal 4 2 4 3 2 5 2 2 3" xfId="17029" xr:uid="{02E8A863-8010-42C7-B327-D4D284E19B0D}"/>
    <cellStyle name="Normal 4 2 4 3 2 5 2 3" xfId="21252" xr:uid="{668D1E72-CA6A-421D-91AC-D22034D35EAA}"/>
    <cellStyle name="Normal 4 2 4 3 2 5 2 4" xfId="12810" xr:uid="{6C847335-4BC6-4FB1-B34B-212FD1698F1D}"/>
    <cellStyle name="Normal 4 2 4 3 2 5 3" xfId="6390" xr:uid="{00000000-0005-0000-0000-00008E130000}"/>
    <cellStyle name="Normal 4 2 4 3 2 5 3 2" xfId="23325" xr:uid="{F08284BB-769F-47FE-90B1-2C5B9E967585}"/>
    <cellStyle name="Normal 4 2 4 3 2 5 3 3" xfId="14884" xr:uid="{BA8C6EBF-6C6F-41F0-9832-EAC90ED40DDF}"/>
    <cellStyle name="Normal 4 2 4 3 2 5 4" xfId="19107" xr:uid="{DCD13F62-9AD7-44D6-A50D-A04B93016A43}"/>
    <cellStyle name="Normal 4 2 4 3 2 5 5" xfId="10633" xr:uid="{08126592-A3C2-4655-ACDE-8DBB8ACECC9A}"/>
    <cellStyle name="Normal 4 2 4 3 2 6" xfId="2520" xr:uid="{00000000-0005-0000-0000-00008F130000}"/>
    <cellStyle name="Normal 4 2 4 3 2 6 2" xfId="6803" xr:uid="{00000000-0005-0000-0000-000090130000}"/>
    <cellStyle name="Normal 4 2 4 3 2 6 2 2" xfId="23738" xr:uid="{8850C6E1-2849-47CF-A237-DC1E139F0F85}"/>
    <cellStyle name="Normal 4 2 4 3 2 6 2 3" xfId="15297" xr:uid="{B8572281-6F7F-450E-BDC2-34BB8545AFA1}"/>
    <cellStyle name="Normal 4 2 4 3 2 6 3" xfId="19520" xr:uid="{F20C4EAF-0D1C-4C0B-8D7B-6260C0A69259}"/>
    <cellStyle name="Normal 4 2 4 3 2 6 4" xfId="11068" xr:uid="{5E1C9F02-66FE-4161-8715-0CF9284EDE1C}"/>
    <cellStyle name="Normal 4 2 4 3 2 7" xfId="4738" xr:uid="{00000000-0005-0000-0000-000091130000}"/>
    <cellStyle name="Normal 4 2 4 3 2 7 2" xfId="21673" xr:uid="{E17FA709-A01C-4AD7-9506-925439E3E9A5}"/>
    <cellStyle name="Normal 4 2 4 3 2 7 3" xfId="13232" xr:uid="{FFF027C4-7531-4102-96D7-3AB20C115213}"/>
    <cellStyle name="Normal 4 2 4 3 2 8" xfId="17455" xr:uid="{DE836939-B878-4ABC-AF62-B36113453418}"/>
    <cellStyle name="Normal 4 2 4 3 2 9" xfId="8980" xr:uid="{11076DC2-B9F2-44E4-AD25-E4E088B2495D}"/>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4230" xr:uid="{7B2173D5-7D52-4A69-AB81-9774BA8C6046}"/>
    <cellStyle name="Normal 4 2 4 3 3 2 2 3" xfId="15789" xr:uid="{09BF38DC-E6FA-4332-B82D-C5A1215DCBC4}"/>
    <cellStyle name="Normal 4 2 4 3 3 2 3" xfId="20012" xr:uid="{2C1C9EFC-68A6-4985-AF2C-52ED6F842B71}"/>
    <cellStyle name="Normal 4 2 4 3 3 2 4" xfId="11570" xr:uid="{66E5B22F-0AC1-4A93-988C-AE36A6002FAC}"/>
    <cellStyle name="Normal 4 2 4 3 3 3" xfId="5150" xr:uid="{00000000-0005-0000-0000-000095130000}"/>
    <cellStyle name="Normal 4 2 4 3 3 3 2" xfId="22085" xr:uid="{1CC8279B-790F-431D-B253-10997F01634F}"/>
    <cellStyle name="Normal 4 2 4 3 3 3 3" xfId="13644" xr:uid="{F06B3EFB-20B3-4E7D-A7C7-C8AB2084D94A}"/>
    <cellStyle name="Normal 4 2 4 3 3 4" xfId="17867" xr:uid="{01E608E2-A60B-4841-9B1C-CD19ED621B5B}"/>
    <cellStyle name="Normal 4 2 4 3 3 5" xfId="9393" xr:uid="{4A82D86F-2A9D-45BD-A451-4C2EC65C056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4643" xr:uid="{5473FFF7-C6DA-45B9-9DC0-FDA1314FE9F6}"/>
    <cellStyle name="Normal 4 2 4 3 4 2 2 3" xfId="16202" xr:uid="{639DAD9D-DB2D-4740-B73B-9FEAA6049690}"/>
    <cellStyle name="Normal 4 2 4 3 4 2 3" xfId="20425" xr:uid="{AF09D660-C2F8-4488-9670-69A75277B9DD}"/>
    <cellStyle name="Normal 4 2 4 3 4 2 4" xfId="11983" xr:uid="{6EF228D4-9934-474C-A63F-2ABF63630573}"/>
    <cellStyle name="Normal 4 2 4 3 4 3" xfId="5563" xr:uid="{00000000-0005-0000-0000-000099130000}"/>
    <cellStyle name="Normal 4 2 4 3 4 3 2" xfId="22498" xr:uid="{AD52BC40-A426-402E-9A67-0EA7CAE52D21}"/>
    <cellStyle name="Normal 4 2 4 3 4 3 3" xfId="14057" xr:uid="{F806E17D-4625-4E9F-975C-C941B8B83C55}"/>
    <cellStyle name="Normal 4 2 4 3 4 4" xfId="18280" xr:uid="{CB8EDD1D-1F97-4263-9525-0835F1B93FED}"/>
    <cellStyle name="Normal 4 2 4 3 4 5" xfId="9806" xr:uid="{157DB557-699C-4F46-BEEC-D708355A9B08}"/>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056" xr:uid="{41C2AAA8-1CEA-4204-A18F-BF787590BA0E}"/>
    <cellStyle name="Normal 4 2 4 3 5 2 2 3" xfId="16615" xr:uid="{54D25786-77AA-4F15-91AD-1EDB1E413043}"/>
    <cellStyle name="Normal 4 2 4 3 5 2 3" xfId="20838" xr:uid="{A715A70D-3759-463B-9D1B-2B4B1188E30F}"/>
    <cellStyle name="Normal 4 2 4 3 5 2 4" xfId="12396" xr:uid="{81E359FC-6EDE-4233-86EF-0CE1348AAAEC}"/>
    <cellStyle name="Normal 4 2 4 3 5 3" xfId="5976" xr:uid="{00000000-0005-0000-0000-00009D130000}"/>
    <cellStyle name="Normal 4 2 4 3 5 3 2" xfId="22911" xr:uid="{41910220-7EF1-4952-9105-A2D726C30ABC}"/>
    <cellStyle name="Normal 4 2 4 3 5 3 3" xfId="14470" xr:uid="{DEBE243B-AD32-44F8-ADCF-14455333B365}"/>
    <cellStyle name="Normal 4 2 4 3 5 4" xfId="18693" xr:uid="{32FE9EE4-FB0A-45CC-A7AF-F960B6ED0153}"/>
    <cellStyle name="Normal 4 2 4 3 5 5" xfId="10219" xr:uid="{6BB7C5D3-9D57-4128-84F6-B03A61A11A3C}"/>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5469" xr:uid="{7790AE59-643E-4311-B231-C11116E27AF2}"/>
    <cellStyle name="Normal 4 2 4 3 6 2 2 3" xfId="17028" xr:uid="{6DBAD8EA-AB6D-429E-8A3B-4B9E9882E814}"/>
    <cellStyle name="Normal 4 2 4 3 6 2 3" xfId="21251" xr:uid="{E8B40217-F9F8-476C-A120-6A6912064D9A}"/>
    <cellStyle name="Normal 4 2 4 3 6 2 4" xfId="12809" xr:uid="{3CF9FB3A-E453-4725-A3CA-9355141E8A60}"/>
    <cellStyle name="Normal 4 2 4 3 6 3" xfId="6389" xr:uid="{00000000-0005-0000-0000-0000A1130000}"/>
    <cellStyle name="Normal 4 2 4 3 6 3 2" xfId="23324" xr:uid="{23235DC1-BB15-4A8C-8294-4260B2608EAD}"/>
    <cellStyle name="Normal 4 2 4 3 6 3 3" xfId="14883" xr:uid="{A7A6B282-F961-4008-A720-B84E97167ECB}"/>
    <cellStyle name="Normal 4 2 4 3 6 4" xfId="19106" xr:uid="{F164B1F0-FDD9-4FA6-95F7-5DB43196F1EF}"/>
    <cellStyle name="Normal 4 2 4 3 6 5" xfId="10632" xr:uid="{520284BF-784C-4FBD-A796-E5E1CEF7E456}"/>
    <cellStyle name="Normal 4 2 4 3 7" xfId="2519" xr:uid="{00000000-0005-0000-0000-0000A2130000}"/>
    <cellStyle name="Normal 4 2 4 3 7 2" xfId="6802" xr:uid="{00000000-0005-0000-0000-0000A3130000}"/>
    <cellStyle name="Normal 4 2 4 3 7 2 2" xfId="23737" xr:uid="{6897E76B-5D7D-4B0B-8689-2DCBFC69591F}"/>
    <cellStyle name="Normal 4 2 4 3 7 2 3" xfId="15296" xr:uid="{012394B7-8EB5-4EFC-BCB2-1AA18524E9A9}"/>
    <cellStyle name="Normal 4 2 4 3 7 3" xfId="19519" xr:uid="{777449CC-2161-4330-9F3F-6245595EA986}"/>
    <cellStyle name="Normal 4 2 4 3 7 4" xfId="11067" xr:uid="{19BF90F4-E087-45C3-9BC4-0A7369D782F6}"/>
    <cellStyle name="Normal 4 2 4 3 8" xfId="4737" xr:uid="{00000000-0005-0000-0000-0000A4130000}"/>
    <cellStyle name="Normal 4 2 4 3 8 2" xfId="21672" xr:uid="{1B7E2CAA-899B-4739-8CC3-36A12B4D0A42}"/>
    <cellStyle name="Normal 4 2 4 3 8 3" xfId="13231" xr:uid="{2181EC6C-D865-4C43-8AE3-66BDF319C232}"/>
    <cellStyle name="Normal 4 2 4 3 9" xfId="17454" xr:uid="{C239BEA5-833B-42DF-AC9B-DC1BB20570F4}"/>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4232" xr:uid="{9078C5BE-0D31-460F-9951-0344357A7C24}"/>
    <cellStyle name="Normal 4 2 4 4 2 2 2 3" xfId="15791" xr:uid="{A6A34B0B-3198-4489-AE05-F40D8E10EBD6}"/>
    <cellStyle name="Normal 4 2 4 4 2 2 3" xfId="20014" xr:uid="{E0CBFD4A-8BDE-419C-97A1-4A68387049C2}"/>
    <cellStyle name="Normal 4 2 4 4 2 2 4" xfId="11572" xr:uid="{1690C14C-9D84-4E8F-B042-56C31BCE18AD}"/>
    <cellStyle name="Normal 4 2 4 4 2 3" xfId="5152" xr:uid="{00000000-0005-0000-0000-0000A9130000}"/>
    <cellStyle name="Normal 4 2 4 4 2 3 2" xfId="22087" xr:uid="{FC50EE55-C60F-495F-9AC9-95A6C3EF5131}"/>
    <cellStyle name="Normal 4 2 4 4 2 3 3" xfId="13646" xr:uid="{ABA8299D-4844-4B0F-86DE-C167E5602850}"/>
    <cellStyle name="Normal 4 2 4 4 2 4" xfId="17869" xr:uid="{BF9D1A10-9CCF-4856-88E6-807EF243A814}"/>
    <cellStyle name="Normal 4 2 4 4 2 5" xfId="9395" xr:uid="{CB3ED7A8-E73E-4BBB-A3E7-F7F133EC2E03}"/>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4645" xr:uid="{D4A5E94A-203A-4B2C-BEB2-F213847FB63C}"/>
    <cellStyle name="Normal 4 2 4 4 3 2 2 3" xfId="16204" xr:uid="{1CF1FB1C-3CA4-468F-85EA-8483D70D0451}"/>
    <cellStyle name="Normal 4 2 4 4 3 2 3" xfId="20427" xr:uid="{A0505AA7-FD35-442E-AA44-73139122C705}"/>
    <cellStyle name="Normal 4 2 4 4 3 2 4" xfId="11985" xr:uid="{63CB7A2E-AB97-40A8-8784-A48B04113F80}"/>
    <cellStyle name="Normal 4 2 4 4 3 3" xfId="5565" xr:uid="{00000000-0005-0000-0000-0000AD130000}"/>
    <cellStyle name="Normal 4 2 4 4 3 3 2" xfId="22500" xr:uid="{466E0619-EB07-4C57-A7DA-BF5858CAFDBF}"/>
    <cellStyle name="Normal 4 2 4 4 3 3 3" xfId="14059" xr:uid="{D493C329-AC33-4361-9EF1-116926DED75A}"/>
    <cellStyle name="Normal 4 2 4 4 3 4" xfId="18282" xr:uid="{682637EF-856E-4490-A3E8-19467B8D7C23}"/>
    <cellStyle name="Normal 4 2 4 4 3 5" xfId="9808" xr:uid="{B1501539-7355-47FF-A550-53151A6908F9}"/>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058" xr:uid="{2F112AB9-767D-4DCE-A9E3-08F0EADC8A96}"/>
    <cellStyle name="Normal 4 2 4 4 4 2 2 3" xfId="16617" xr:uid="{F1896C2B-571F-44C6-9C9D-B9DA85851D5E}"/>
    <cellStyle name="Normal 4 2 4 4 4 2 3" xfId="20840" xr:uid="{EADF9804-696B-4040-A339-9DC93A630A48}"/>
    <cellStyle name="Normal 4 2 4 4 4 2 4" xfId="12398" xr:uid="{091F4429-C08A-4B2D-8B46-76A5C0772B45}"/>
    <cellStyle name="Normal 4 2 4 4 4 3" xfId="5978" xr:uid="{00000000-0005-0000-0000-0000B1130000}"/>
    <cellStyle name="Normal 4 2 4 4 4 3 2" xfId="22913" xr:uid="{0C4AE818-3AA2-4ED7-B1A7-154E41E788A8}"/>
    <cellStyle name="Normal 4 2 4 4 4 3 3" xfId="14472" xr:uid="{E6248DAF-A61F-4E90-80D1-7C2CC9E70AC6}"/>
    <cellStyle name="Normal 4 2 4 4 4 4" xfId="18695" xr:uid="{6608D313-3449-44DC-9E2E-1CFD2B003662}"/>
    <cellStyle name="Normal 4 2 4 4 4 5" xfId="10221" xr:uid="{73629D2E-F259-4B75-A029-9D7F93218873}"/>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5471" xr:uid="{057800B0-30AB-437A-8248-0AAFBAE34480}"/>
    <cellStyle name="Normal 4 2 4 4 5 2 2 3" xfId="17030" xr:uid="{0880ACDE-1EE1-4194-9E4B-491E5FD6129A}"/>
    <cellStyle name="Normal 4 2 4 4 5 2 3" xfId="21253" xr:uid="{2D61BF56-6367-470B-B812-24F0FD1700D5}"/>
    <cellStyle name="Normal 4 2 4 4 5 2 4" xfId="12811" xr:uid="{3FEAEF09-58D3-43E2-AAD7-FEC36C281BEF}"/>
    <cellStyle name="Normal 4 2 4 4 5 3" xfId="6391" xr:uid="{00000000-0005-0000-0000-0000B5130000}"/>
    <cellStyle name="Normal 4 2 4 4 5 3 2" xfId="23326" xr:uid="{05167E02-1124-42B9-A47A-38C27759A565}"/>
    <cellStyle name="Normal 4 2 4 4 5 3 3" xfId="14885" xr:uid="{AA25E31F-84FE-4DC4-AB53-668E42425B55}"/>
    <cellStyle name="Normal 4 2 4 4 5 4" xfId="19108" xr:uid="{FE6EB762-3250-4180-9CCB-52957A187004}"/>
    <cellStyle name="Normal 4 2 4 4 5 5" xfId="10634" xr:uid="{6D970971-7C47-4C38-B8B3-17DFED8CD4CA}"/>
    <cellStyle name="Normal 4 2 4 4 6" xfId="2521" xr:uid="{00000000-0005-0000-0000-0000B6130000}"/>
    <cellStyle name="Normal 4 2 4 4 6 2" xfId="6804" xr:uid="{00000000-0005-0000-0000-0000B7130000}"/>
    <cellStyle name="Normal 4 2 4 4 6 2 2" xfId="23739" xr:uid="{BF7F4B01-6986-4A8A-9BD7-4C5F0220EDC3}"/>
    <cellStyle name="Normal 4 2 4 4 6 2 3" xfId="15298" xr:uid="{A8BA9D3E-EC9D-46B5-A28D-8AD598684B66}"/>
    <cellStyle name="Normal 4 2 4 4 6 3" xfId="19521" xr:uid="{3F22E987-49B1-4243-B96B-FACC0F2FE42B}"/>
    <cellStyle name="Normal 4 2 4 4 6 4" xfId="11069" xr:uid="{2C31E326-437D-4279-A544-4CD0BC09CE7D}"/>
    <cellStyle name="Normal 4 2 4 4 7" xfId="4739" xr:uid="{00000000-0005-0000-0000-0000B8130000}"/>
    <cellStyle name="Normal 4 2 4 4 7 2" xfId="21674" xr:uid="{F891D401-A9AC-41F3-BFD6-662D45267365}"/>
    <cellStyle name="Normal 4 2 4 4 7 3" xfId="13233" xr:uid="{2967BD04-5A8E-437D-9396-B551597D7830}"/>
    <cellStyle name="Normal 4 2 4 4 8" xfId="17456" xr:uid="{7AE74441-5726-4CFB-BF60-A1E428E55240}"/>
    <cellStyle name="Normal 4 2 4 4 9" xfId="8981" xr:uid="{0FC06306-6AFC-40D3-A038-7C9BAB999E67}"/>
    <cellStyle name="Normal 4 2 4 5" xfId="831" xr:uid="{00000000-0005-0000-0000-0000B9130000}"/>
    <cellStyle name="Normal 4 2 4 5 2" xfId="3068" xr:uid="{00000000-0005-0000-0000-0000BA130000}"/>
    <cellStyle name="Normal 4 2 4 5 2 2" xfId="7290" xr:uid="{00000000-0005-0000-0000-0000BB130000}"/>
    <cellStyle name="Normal 4 2 4 5 2 2 2" xfId="24225" xr:uid="{777F47BB-C6DA-47B5-8D32-F7F3092321EE}"/>
    <cellStyle name="Normal 4 2 4 5 2 2 3" xfId="15784" xr:uid="{3A2AC4EC-3AD1-4B4A-ADFD-153FCB46F327}"/>
    <cellStyle name="Normal 4 2 4 5 2 3" xfId="20007" xr:uid="{46E96A50-AD3A-47AF-B08A-0E9C728406B2}"/>
    <cellStyle name="Normal 4 2 4 5 2 4" xfId="11565" xr:uid="{CD0D70D0-7378-4E1A-AF7C-EEF29FE7881B}"/>
    <cellStyle name="Normal 4 2 4 5 3" xfId="5145" xr:uid="{00000000-0005-0000-0000-0000BC130000}"/>
    <cellStyle name="Normal 4 2 4 5 3 2" xfId="22080" xr:uid="{1AA043F0-0E15-484D-B511-DC1478E9552E}"/>
    <cellStyle name="Normal 4 2 4 5 3 3" xfId="13639" xr:uid="{6C9DB8F6-89A4-4678-A3CF-1A730CB3E22B}"/>
    <cellStyle name="Normal 4 2 4 5 4" xfId="17862" xr:uid="{DF472F40-DB91-4205-8A79-A2E28A705FD8}"/>
    <cellStyle name="Normal 4 2 4 5 5" xfId="9388" xr:uid="{B00DD46E-D7DB-4183-9B27-C136C9CF6772}"/>
    <cellStyle name="Normal 4 2 4 6" xfId="1251" xr:uid="{00000000-0005-0000-0000-0000BD130000}"/>
    <cellStyle name="Normal 4 2 4 6 2" xfId="3481" xr:uid="{00000000-0005-0000-0000-0000BE130000}"/>
    <cellStyle name="Normal 4 2 4 6 2 2" xfId="7703" xr:uid="{00000000-0005-0000-0000-0000BF130000}"/>
    <cellStyle name="Normal 4 2 4 6 2 2 2" xfId="24638" xr:uid="{09BC9288-5D63-4498-87DC-3E4BF8D08073}"/>
    <cellStyle name="Normal 4 2 4 6 2 2 3" xfId="16197" xr:uid="{8C1A4594-7A0A-4156-9F77-3ED7913C282D}"/>
    <cellStyle name="Normal 4 2 4 6 2 3" xfId="20420" xr:uid="{04DE7228-71D2-4ADE-89A1-140DB5B3845D}"/>
    <cellStyle name="Normal 4 2 4 6 2 4" xfId="11978" xr:uid="{14392A97-EC13-4BFB-A386-A86606EB5A66}"/>
    <cellStyle name="Normal 4 2 4 6 3" xfId="5558" xr:uid="{00000000-0005-0000-0000-0000C0130000}"/>
    <cellStyle name="Normal 4 2 4 6 3 2" xfId="22493" xr:uid="{F281E893-48B6-4BA3-899D-277BE1BF7AF8}"/>
    <cellStyle name="Normal 4 2 4 6 3 3" xfId="14052" xr:uid="{3C400A83-3665-458F-8DA3-10D7447F1D11}"/>
    <cellStyle name="Normal 4 2 4 6 4" xfId="18275" xr:uid="{A001FAA5-08A6-4816-BCF6-E6A54FE01FD9}"/>
    <cellStyle name="Normal 4 2 4 6 5" xfId="9801" xr:uid="{37F71BC2-8A45-4C7F-81EF-EBFE7BC02D54}"/>
    <cellStyle name="Normal 4 2 4 7" xfId="1664" xr:uid="{00000000-0005-0000-0000-0000C1130000}"/>
    <cellStyle name="Normal 4 2 4 7 2" xfId="3894" xr:uid="{00000000-0005-0000-0000-0000C2130000}"/>
    <cellStyle name="Normal 4 2 4 7 2 2" xfId="8116" xr:uid="{00000000-0005-0000-0000-0000C3130000}"/>
    <cellStyle name="Normal 4 2 4 7 2 2 2" xfId="25051" xr:uid="{68573E3B-0430-460E-A199-A0120CEFBB55}"/>
    <cellStyle name="Normal 4 2 4 7 2 2 3" xfId="16610" xr:uid="{54AC89D1-82FD-4616-8DDA-E83CBEE3D863}"/>
    <cellStyle name="Normal 4 2 4 7 2 3" xfId="20833" xr:uid="{67747683-8364-466D-A30F-5ED932389DD4}"/>
    <cellStyle name="Normal 4 2 4 7 2 4" xfId="12391" xr:uid="{061D4568-7122-4F5E-9651-53BDAADE6F0B}"/>
    <cellStyle name="Normal 4 2 4 7 3" xfId="5971" xr:uid="{00000000-0005-0000-0000-0000C4130000}"/>
    <cellStyle name="Normal 4 2 4 7 3 2" xfId="22906" xr:uid="{F0818ACC-BD5A-4960-A243-58BBD72174E6}"/>
    <cellStyle name="Normal 4 2 4 7 3 3" xfId="14465" xr:uid="{AB6DFE53-CDA0-442B-81FE-FDB37578D513}"/>
    <cellStyle name="Normal 4 2 4 7 4" xfId="18688" xr:uid="{0A08D2CA-B60A-4712-9E4F-1A00DD4BC355}"/>
    <cellStyle name="Normal 4 2 4 7 5" xfId="10214" xr:uid="{AC16F9E6-6C49-4BDE-BF86-06ACFB49B066}"/>
    <cellStyle name="Normal 4 2 4 8" xfId="2078" xr:uid="{00000000-0005-0000-0000-0000C5130000}"/>
    <cellStyle name="Normal 4 2 4 8 2" xfId="4307" xr:uid="{00000000-0005-0000-0000-0000C6130000}"/>
    <cellStyle name="Normal 4 2 4 8 2 2" xfId="8529" xr:uid="{00000000-0005-0000-0000-0000C7130000}"/>
    <cellStyle name="Normal 4 2 4 8 2 2 2" xfId="25464" xr:uid="{9F3A542B-963A-42F7-9279-8B9AE4E02D16}"/>
    <cellStyle name="Normal 4 2 4 8 2 2 3" xfId="17023" xr:uid="{BD5C04DF-8C61-493E-9541-8F4E64285591}"/>
    <cellStyle name="Normal 4 2 4 8 2 3" xfId="21246" xr:uid="{BCC94590-7492-4F6B-9852-B94752F07C67}"/>
    <cellStyle name="Normal 4 2 4 8 2 4" xfId="12804" xr:uid="{EDC38D8A-FF02-43F8-87E2-53613E6B75FE}"/>
    <cellStyle name="Normal 4 2 4 8 3" xfId="6384" xr:uid="{00000000-0005-0000-0000-0000C8130000}"/>
    <cellStyle name="Normal 4 2 4 8 3 2" xfId="23319" xr:uid="{F156C875-6DF1-40F6-A1DC-A8B64C45A001}"/>
    <cellStyle name="Normal 4 2 4 8 3 3" xfId="14878" xr:uid="{1492A8F5-B16A-4906-BC0B-9D7819D0AA2C}"/>
    <cellStyle name="Normal 4 2 4 8 4" xfId="19101" xr:uid="{DBF5E27A-0DCB-4D54-8507-7314DDC6DC42}"/>
    <cellStyle name="Normal 4 2 4 8 5" xfId="10627" xr:uid="{4067A7F3-57D4-4BC2-B670-D73CA6C89A31}"/>
    <cellStyle name="Normal 4 2 4 9" xfId="2514" xr:uid="{00000000-0005-0000-0000-0000C9130000}"/>
    <cellStyle name="Normal 4 2 4 9 2" xfId="6797" xr:uid="{00000000-0005-0000-0000-0000CA130000}"/>
    <cellStyle name="Normal 4 2 4 9 2 2" xfId="23732" xr:uid="{8E9EDCD3-0698-4AA4-8E07-4F2EA558299D}"/>
    <cellStyle name="Normal 4 2 4 9 2 3" xfId="15291" xr:uid="{C01FDAB6-0B03-4C7D-B82E-7559E1B149A2}"/>
    <cellStyle name="Normal 4 2 4 9 3" xfId="19514" xr:uid="{64B38073-B6FF-49E2-8EB8-B3CD29DD0A0D}"/>
    <cellStyle name="Normal 4 2 4 9 4" xfId="11062" xr:uid="{CDADB89F-2891-4DBD-B59C-AE8AAE97024A}"/>
    <cellStyle name="Normal 4 2 5" xfId="363" xr:uid="{00000000-0005-0000-0000-0000CB130000}"/>
    <cellStyle name="Normal 4 2 5 10" xfId="8982" xr:uid="{1E3B1A76-8DBD-4BBC-BEF4-8D425F4E6BE3}"/>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4234" xr:uid="{E5D50A15-0252-40C9-8603-E976EA29EE39}"/>
    <cellStyle name="Normal 4 2 5 2 2 2 2 3" xfId="15793" xr:uid="{10178A07-10FE-4F7A-861F-1DFC13A9DC3E}"/>
    <cellStyle name="Normal 4 2 5 2 2 2 3" xfId="20016" xr:uid="{A881BD64-6D39-457F-8011-66B120B5A150}"/>
    <cellStyle name="Normal 4 2 5 2 2 2 4" xfId="11574" xr:uid="{33B2B55A-2D5D-4390-A39F-75ABACF48AFD}"/>
    <cellStyle name="Normal 4 2 5 2 2 3" xfId="5154" xr:uid="{00000000-0005-0000-0000-0000D0130000}"/>
    <cellStyle name="Normal 4 2 5 2 2 3 2" xfId="22089" xr:uid="{C1FD1607-544F-41A2-9431-6DC725158807}"/>
    <cellStyle name="Normal 4 2 5 2 2 3 3" xfId="13648" xr:uid="{553698E7-F010-4EA2-8693-D8B3B962E0EF}"/>
    <cellStyle name="Normal 4 2 5 2 2 4" xfId="17871" xr:uid="{808F19A4-ECB9-4EAD-B347-09D6AE35742E}"/>
    <cellStyle name="Normal 4 2 5 2 2 5" xfId="9397" xr:uid="{E5BD4D16-6BF0-4E25-8F3D-9146D1C9E6D3}"/>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4647" xr:uid="{2E619435-8977-47E7-94EC-DFA42208C9DD}"/>
    <cellStyle name="Normal 4 2 5 2 3 2 2 3" xfId="16206" xr:uid="{D1FA1185-B3A3-4B8B-9AC0-B94259C24936}"/>
    <cellStyle name="Normal 4 2 5 2 3 2 3" xfId="20429" xr:uid="{A253B361-994E-4883-A9FF-0C88E919DF4F}"/>
    <cellStyle name="Normal 4 2 5 2 3 2 4" xfId="11987" xr:uid="{50F87B39-5E94-4D7B-8821-CC5BCD78C4BE}"/>
    <cellStyle name="Normal 4 2 5 2 3 3" xfId="5567" xr:uid="{00000000-0005-0000-0000-0000D4130000}"/>
    <cellStyle name="Normal 4 2 5 2 3 3 2" xfId="22502" xr:uid="{059E5E0D-1A38-421D-AE50-448C662D7370}"/>
    <cellStyle name="Normal 4 2 5 2 3 3 3" xfId="14061" xr:uid="{459163B5-272E-4087-93BB-C4626119F085}"/>
    <cellStyle name="Normal 4 2 5 2 3 4" xfId="18284" xr:uid="{857333CA-00DD-47ED-A5CB-F17E2085C4FB}"/>
    <cellStyle name="Normal 4 2 5 2 3 5" xfId="9810" xr:uid="{24379650-63D1-4730-9F48-6F10CE3F617C}"/>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060" xr:uid="{D4C8BBDB-88FF-4D63-84D8-4FD9BE837A4B}"/>
    <cellStyle name="Normal 4 2 5 2 4 2 2 3" xfId="16619" xr:uid="{E629F2A2-9710-41FB-88D2-8DADF531DD0E}"/>
    <cellStyle name="Normal 4 2 5 2 4 2 3" xfId="20842" xr:uid="{44260768-7C60-4257-8EFA-421D63C759D7}"/>
    <cellStyle name="Normal 4 2 5 2 4 2 4" xfId="12400" xr:uid="{EAB58993-DDC1-445D-90C0-BDA9B460CC7A}"/>
    <cellStyle name="Normal 4 2 5 2 4 3" xfId="5980" xr:uid="{00000000-0005-0000-0000-0000D8130000}"/>
    <cellStyle name="Normal 4 2 5 2 4 3 2" xfId="22915" xr:uid="{0F34EA92-1F6A-4BE4-B75B-2C61B4A387FF}"/>
    <cellStyle name="Normal 4 2 5 2 4 3 3" xfId="14474" xr:uid="{807A1876-9616-412C-8DBA-0759F6D7E4A8}"/>
    <cellStyle name="Normal 4 2 5 2 4 4" xfId="18697" xr:uid="{2EBB4BBA-1CD3-49B6-BBB3-4322A2E90335}"/>
    <cellStyle name="Normal 4 2 5 2 4 5" xfId="10223" xr:uid="{EB7041B8-EE82-4172-A1F0-172B71279A0E}"/>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5473" xr:uid="{AE453D2F-60F0-4A79-AE3C-FA3586B21EB0}"/>
    <cellStyle name="Normal 4 2 5 2 5 2 2 3" xfId="17032" xr:uid="{AE884DEA-D733-4EAC-A003-A821D96F9CFD}"/>
    <cellStyle name="Normal 4 2 5 2 5 2 3" xfId="21255" xr:uid="{59F1E091-6A59-4850-B148-623BC3EA2444}"/>
    <cellStyle name="Normal 4 2 5 2 5 2 4" xfId="12813" xr:uid="{4177EADB-1419-42D7-933B-C60AC34C6DBD}"/>
    <cellStyle name="Normal 4 2 5 2 5 3" xfId="6393" xr:uid="{00000000-0005-0000-0000-0000DC130000}"/>
    <cellStyle name="Normal 4 2 5 2 5 3 2" xfId="23328" xr:uid="{EACC3F10-CF8F-42DA-B99C-121ADDFE328D}"/>
    <cellStyle name="Normal 4 2 5 2 5 3 3" xfId="14887" xr:uid="{56C90494-35FF-47AD-BE91-CFF6666AD344}"/>
    <cellStyle name="Normal 4 2 5 2 5 4" xfId="19110" xr:uid="{CE0577A4-FF20-4E11-9E53-A2EFD6C52B9A}"/>
    <cellStyle name="Normal 4 2 5 2 5 5" xfId="10636" xr:uid="{DC6C6B80-F69E-4189-B027-46083173702D}"/>
    <cellStyle name="Normal 4 2 5 2 6" xfId="2523" xr:uid="{00000000-0005-0000-0000-0000DD130000}"/>
    <cellStyle name="Normal 4 2 5 2 6 2" xfId="6806" xr:uid="{00000000-0005-0000-0000-0000DE130000}"/>
    <cellStyle name="Normal 4 2 5 2 6 2 2" xfId="23741" xr:uid="{6CA8D3BC-08C4-458D-8CE0-6D70B4E2DE6C}"/>
    <cellStyle name="Normal 4 2 5 2 6 2 3" xfId="15300" xr:uid="{D180ADB3-5266-4597-96FB-3E62DAF6E1D9}"/>
    <cellStyle name="Normal 4 2 5 2 6 3" xfId="19523" xr:uid="{93C2ACBB-642D-42FA-A22E-9A45513B4F26}"/>
    <cellStyle name="Normal 4 2 5 2 6 4" xfId="11071" xr:uid="{B6FD02E6-DA57-4993-8CAB-B3BD4FBB22A7}"/>
    <cellStyle name="Normal 4 2 5 2 7" xfId="4741" xr:uid="{00000000-0005-0000-0000-0000DF130000}"/>
    <cellStyle name="Normal 4 2 5 2 7 2" xfId="21676" xr:uid="{F2237C74-3C20-41BB-A255-73C060E1CF11}"/>
    <cellStyle name="Normal 4 2 5 2 7 3" xfId="13235" xr:uid="{F35F2645-F61D-4EAC-AC29-4C6113CC80F8}"/>
    <cellStyle name="Normal 4 2 5 2 8" xfId="17458" xr:uid="{5C9BA815-74A1-4D2F-AB04-6F37DBC846B2}"/>
    <cellStyle name="Normal 4 2 5 2 9" xfId="8983" xr:uid="{669A7074-1F20-4BF5-9C78-1BC0186F952D}"/>
    <cellStyle name="Normal 4 2 5 3" xfId="839" xr:uid="{00000000-0005-0000-0000-0000E0130000}"/>
    <cellStyle name="Normal 4 2 5 3 2" xfId="3076" xr:uid="{00000000-0005-0000-0000-0000E1130000}"/>
    <cellStyle name="Normal 4 2 5 3 2 2" xfId="7298" xr:uid="{00000000-0005-0000-0000-0000E2130000}"/>
    <cellStyle name="Normal 4 2 5 3 2 2 2" xfId="24233" xr:uid="{856CC296-2799-4740-AB16-CDCC917A518F}"/>
    <cellStyle name="Normal 4 2 5 3 2 2 3" xfId="15792" xr:uid="{B29649C9-D7AD-4D1D-B8A1-235B1025A11E}"/>
    <cellStyle name="Normal 4 2 5 3 2 3" xfId="20015" xr:uid="{287892B6-035B-47C2-8CEB-0F6D1922152D}"/>
    <cellStyle name="Normal 4 2 5 3 2 4" xfId="11573" xr:uid="{A042C59E-418D-4AD8-8434-738AC53BA2D3}"/>
    <cellStyle name="Normal 4 2 5 3 3" xfId="5153" xr:uid="{00000000-0005-0000-0000-0000E3130000}"/>
    <cellStyle name="Normal 4 2 5 3 3 2" xfId="22088" xr:uid="{40E0B88D-8A06-4AC1-82F2-9458C7D08090}"/>
    <cellStyle name="Normal 4 2 5 3 3 3" xfId="13647" xr:uid="{01C6481E-DC4F-4C9D-9A07-748FE530FDA9}"/>
    <cellStyle name="Normal 4 2 5 3 4" xfId="17870" xr:uid="{6CCB0659-4A42-42CC-AD4C-02115C23E45A}"/>
    <cellStyle name="Normal 4 2 5 3 5" xfId="9396" xr:uid="{86AE58AE-25DE-4196-8B0F-29F48F4C5787}"/>
    <cellStyle name="Normal 4 2 5 4" xfId="1259" xr:uid="{00000000-0005-0000-0000-0000E4130000}"/>
    <cellStyle name="Normal 4 2 5 4 2" xfId="3489" xr:uid="{00000000-0005-0000-0000-0000E5130000}"/>
    <cellStyle name="Normal 4 2 5 4 2 2" xfId="7711" xr:uid="{00000000-0005-0000-0000-0000E6130000}"/>
    <cellStyle name="Normal 4 2 5 4 2 2 2" xfId="24646" xr:uid="{27017624-BB1D-432A-A6A9-BFA73E8C3EAE}"/>
    <cellStyle name="Normal 4 2 5 4 2 2 3" xfId="16205" xr:uid="{9CD4C741-855F-4097-B2FB-12803B04BC65}"/>
    <cellStyle name="Normal 4 2 5 4 2 3" xfId="20428" xr:uid="{771B79FD-9532-4392-BD94-87838CBF4B03}"/>
    <cellStyle name="Normal 4 2 5 4 2 4" xfId="11986" xr:uid="{EFBFCD02-A21D-4F07-AA77-0E8CBD074593}"/>
    <cellStyle name="Normal 4 2 5 4 3" xfId="5566" xr:uid="{00000000-0005-0000-0000-0000E7130000}"/>
    <cellStyle name="Normal 4 2 5 4 3 2" xfId="22501" xr:uid="{460DA508-23C3-42F8-8495-66799F88DA0E}"/>
    <cellStyle name="Normal 4 2 5 4 3 3" xfId="14060" xr:uid="{4E3DB74A-3EB1-4FD3-8CC6-E66995610F97}"/>
    <cellStyle name="Normal 4 2 5 4 4" xfId="18283" xr:uid="{E47833B1-6AE3-4819-94E7-A967F0751B82}"/>
    <cellStyle name="Normal 4 2 5 4 5" xfId="9809" xr:uid="{458E2991-A34F-48EA-AF19-584BE9DBA1C0}"/>
    <cellStyle name="Normal 4 2 5 5" xfId="1672" xr:uid="{00000000-0005-0000-0000-0000E8130000}"/>
    <cellStyle name="Normal 4 2 5 5 2" xfId="3902" xr:uid="{00000000-0005-0000-0000-0000E9130000}"/>
    <cellStyle name="Normal 4 2 5 5 2 2" xfId="8124" xr:uid="{00000000-0005-0000-0000-0000EA130000}"/>
    <cellStyle name="Normal 4 2 5 5 2 2 2" xfId="25059" xr:uid="{E549D0B9-E235-4D05-B692-3074DB37F037}"/>
    <cellStyle name="Normal 4 2 5 5 2 2 3" xfId="16618" xr:uid="{54B974B9-0E6F-4A96-A8A8-D855E076D192}"/>
    <cellStyle name="Normal 4 2 5 5 2 3" xfId="20841" xr:uid="{DF5BD9C5-A3F4-4D7B-B57F-05F00EC3BD4C}"/>
    <cellStyle name="Normal 4 2 5 5 2 4" xfId="12399" xr:uid="{E706C81F-014C-4721-B601-A0CD0E873A6F}"/>
    <cellStyle name="Normal 4 2 5 5 3" xfId="5979" xr:uid="{00000000-0005-0000-0000-0000EB130000}"/>
    <cellStyle name="Normal 4 2 5 5 3 2" xfId="22914" xr:uid="{CD147E8E-8801-490B-9D76-443CF332DAC6}"/>
    <cellStyle name="Normal 4 2 5 5 3 3" xfId="14473" xr:uid="{E7C23BF6-AE77-4226-995C-6CCDD39CD848}"/>
    <cellStyle name="Normal 4 2 5 5 4" xfId="18696" xr:uid="{DE29ECBE-C3D9-477A-8F2F-BF08E4782471}"/>
    <cellStyle name="Normal 4 2 5 5 5" xfId="10222" xr:uid="{D8D477CC-551D-4FE1-8F92-654B5250B4F6}"/>
    <cellStyle name="Normal 4 2 5 6" xfId="2086" xr:uid="{00000000-0005-0000-0000-0000EC130000}"/>
    <cellStyle name="Normal 4 2 5 6 2" xfId="4315" xr:uid="{00000000-0005-0000-0000-0000ED130000}"/>
    <cellStyle name="Normal 4 2 5 6 2 2" xfId="8537" xr:uid="{00000000-0005-0000-0000-0000EE130000}"/>
    <cellStyle name="Normal 4 2 5 6 2 2 2" xfId="25472" xr:uid="{33FA5516-E7AC-4A0F-A9AC-592862D35148}"/>
    <cellStyle name="Normal 4 2 5 6 2 2 3" xfId="17031" xr:uid="{B2AA8260-CB50-4E31-946F-9C905F6709AC}"/>
    <cellStyle name="Normal 4 2 5 6 2 3" xfId="21254" xr:uid="{445D73E6-A22D-4028-9392-A40037D38F5F}"/>
    <cellStyle name="Normal 4 2 5 6 2 4" xfId="12812" xr:uid="{C379CD60-F77C-47C9-92F6-EBC2B677B120}"/>
    <cellStyle name="Normal 4 2 5 6 3" xfId="6392" xr:uid="{00000000-0005-0000-0000-0000EF130000}"/>
    <cellStyle name="Normal 4 2 5 6 3 2" xfId="23327" xr:uid="{6F411FA8-7D09-409C-8F8A-A5F90A09C831}"/>
    <cellStyle name="Normal 4 2 5 6 3 3" xfId="14886" xr:uid="{285650EF-33FA-4678-A27F-745D026A7F87}"/>
    <cellStyle name="Normal 4 2 5 6 4" xfId="19109" xr:uid="{A355C6AA-33E3-4633-9076-7D1CE26DA964}"/>
    <cellStyle name="Normal 4 2 5 6 5" xfId="10635" xr:uid="{B98D48E8-1380-4245-8C35-6BEB74D87F27}"/>
    <cellStyle name="Normal 4 2 5 7" xfId="2522" xr:uid="{00000000-0005-0000-0000-0000F0130000}"/>
    <cellStyle name="Normal 4 2 5 7 2" xfId="6805" xr:uid="{00000000-0005-0000-0000-0000F1130000}"/>
    <cellStyle name="Normal 4 2 5 7 2 2" xfId="23740" xr:uid="{F92E4EC9-4AE5-492B-9896-4FCAC7DA9A53}"/>
    <cellStyle name="Normal 4 2 5 7 2 3" xfId="15299" xr:uid="{31EB21C2-BB7C-48DD-B3EC-69D0D2B3B0B4}"/>
    <cellStyle name="Normal 4 2 5 7 3" xfId="19522" xr:uid="{D01220C5-3252-4AFD-9EA8-4BDC404AB9EA}"/>
    <cellStyle name="Normal 4 2 5 7 4" xfId="11070" xr:uid="{E6A8DAB8-E11E-4BD1-8F48-80EFD1847741}"/>
    <cellStyle name="Normal 4 2 5 8" xfId="4740" xr:uid="{00000000-0005-0000-0000-0000F2130000}"/>
    <cellStyle name="Normal 4 2 5 8 2" xfId="21675" xr:uid="{AA9F5638-E83E-487A-9AC4-237E8554F977}"/>
    <cellStyle name="Normal 4 2 5 8 3" xfId="13234" xr:uid="{488A3F05-8055-43BE-8B1B-F3545FC67041}"/>
    <cellStyle name="Normal 4 2 5 9" xfId="17457" xr:uid="{C5D404EB-850B-4C18-9A4E-6D2F5E67207E}"/>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24235" xr:uid="{66106177-144D-4CAD-842E-3ECF5BFF486A}"/>
    <cellStyle name="Normal 4 2 6 2 2 2 3" xfId="15794" xr:uid="{F9544DCB-9FD0-4C9F-9D04-0778483E4C12}"/>
    <cellStyle name="Normal 4 2 6 2 2 3" xfId="20017" xr:uid="{996BABF6-E087-4238-96CC-8787F4B6E6E6}"/>
    <cellStyle name="Normal 4 2 6 2 2 4" xfId="11575" xr:uid="{54E8EE3A-C0C3-4B33-9645-A59661C5C1DD}"/>
    <cellStyle name="Normal 4 2 6 2 3" xfId="5155" xr:uid="{00000000-0005-0000-0000-0000F7130000}"/>
    <cellStyle name="Normal 4 2 6 2 3 2" xfId="22090" xr:uid="{1E4861FB-3596-4214-B5BC-F2D147E07104}"/>
    <cellStyle name="Normal 4 2 6 2 3 3" xfId="13649" xr:uid="{229DD247-A46D-4F1B-B222-692F25E3A29D}"/>
    <cellStyle name="Normal 4 2 6 2 4" xfId="17872" xr:uid="{812FDE67-351B-4417-B6A9-3598F0385D4C}"/>
    <cellStyle name="Normal 4 2 6 2 5" xfId="9398" xr:uid="{F680CC9E-5ED9-4FF7-A9C4-E5525EF604CD}"/>
    <cellStyle name="Normal 4 2 6 3" xfId="1261" xr:uid="{00000000-0005-0000-0000-0000F8130000}"/>
    <cellStyle name="Normal 4 2 6 3 2" xfId="3491" xr:uid="{00000000-0005-0000-0000-0000F9130000}"/>
    <cellStyle name="Normal 4 2 6 3 2 2" xfId="7713" xr:uid="{00000000-0005-0000-0000-0000FA130000}"/>
    <cellStyle name="Normal 4 2 6 3 2 2 2" xfId="24648" xr:uid="{95EA1017-9DD4-4878-9EE9-F29F9F07B89B}"/>
    <cellStyle name="Normal 4 2 6 3 2 2 3" xfId="16207" xr:uid="{C73C6FA1-1C33-4194-9493-BC90A86FBCC2}"/>
    <cellStyle name="Normal 4 2 6 3 2 3" xfId="20430" xr:uid="{B0591179-BAD4-47D5-813F-93CFD5CB204F}"/>
    <cellStyle name="Normal 4 2 6 3 2 4" xfId="11988" xr:uid="{9E24D07F-9D3C-4743-BE3F-13381EF6283A}"/>
    <cellStyle name="Normal 4 2 6 3 3" xfId="5568" xr:uid="{00000000-0005-0000-0000-0000FB130000}"/>
    <cellStyle name="Normal 4 2 6 3 3 2" xfId="22503" xr:uid="{533D60EF-144D-49C4-A956-98176C25FD51}"/>
    <cellStyle name="Normal 4 2 6 3 3 3" xfId="14062" xr:uid="{DB8E2B04-DA7E-40A1-8831-D57340497A14}"/>
    <cellStyle name="Normal 4 2 6 3 4" xfId="18285" xr:uid="{D702DE4F-B829-47FF-80C4-D6CF7F696984}"/>
    <cellStyle name="Normal 4 2 6 3 5" xfId="9811" xr:uid="{B173947F-D2F4-4A85-8E78-9355A24C5F80}"/>
    <cellStyle name="Normal 4 2 6 4" xfId="1674" xr:uid="{00000000-0005-0000-0000-0000FC130000}"/>
    <cellStyle name="Normal 4 2 6 4 2" xfId="3904" xr:uid="{00000000-0005-0000-0000-0000FD130000}"/>
    <cellStyle name="Normal 4 2 6 4 2 2" xfId="8126" xr:uid="{00000000-0005-0000-0000-0000FE130000}"/>
    <cellStyle name="Normal 4 2 6 4 2 2 2" xfId="25061" xr:uid="{726FEDCE-DE37-4354-9731-CEFF9E44B7A7}"/>
    <cellStyle name="Normal 4 2 6 4 2 2 3" xfId="16620" xr:uid="{82EFB681-060B-45D6-9127-9D1D739FE6CE}"/>
    <cellStyle name="Normal 4 2 6 4 2 3" xfId="20843" xr:uid="{B24D38BD-512B-4A1D-9DE2-647542A4121E}"/>
    <cellStyle name="Normal 4 2 6 4 2 4" xfId="12401" xr:uid="{AECF8EC6-C79D-4CC7-8277-C0F3FB917763}"/>
    <cellStyle name="Normal 4 2 6 4 3" xfId="5981" xr:uid="{00000000-0005-0000-0000-0000FF130000}"/>
    <cellStyle name="Normal 4 2 6 4 3 2" xfId="22916" xr:uid="{BCB72847-3A90-4367-9726-B866991D0D23}"/>
    <cellStyle name="Normal 4 2 6 4 3 3" xfId="14475" xr:uid="{C8E4CD82-3C90-4729-AA6F-ECADE8958E49}"/>
    <cellStyle name="Normal 4 2 6 4 4" xfId="18698" xr:uid="{88E29849-C951-4182-9698-C132C2286227}"/>
    <cellStyle name="Normal 4 2 6 4 5" xfId="10224" xr:uid="{800BF861-5D0A-49B5-9FA4-2E70A1492DC6}"/>
    <cellStyle name="Normal 4 2 6 5" xfId="2088" xr:uid="{00000000-0005-0000-0000-000000140000}"/>
    <cellStyle name="Normal 4 2 6 5 2" xfId="4317" xr:uid="{00000000-0005-0000-0000-000001140000}"/>
    <cellStyle name="Normal 4 2 6 5 2 2" xfId="8539" xr:uid="{00000000-0005-0000-0000-000002140000}"/>
    <cellStyle name="Normal 4 2 6 5 2 2 2" xfId="25474" xr:uid="{E14BF3F4-EE73-4983-A09F-92B4812BE232}"/>
    <cellStyle name="Normal 4 2 6 5 2 2 3" xfId="17033" xr:uid="{B82C7DFE-5F9E-4D06-8AF4-B646D2C827E4}"/>
    <cellStyle name="Normal 4 2 6 5 2 3" xfId="21256" xr:uid="{7D12AA9C-E4A2-43E1-AE7A-42E37758C02C}"/>
    <cellStyle name="Normal 4 2 6 5 2 4" xfId="12814" xr:uid="{24961BE4-B379-49B2-8B6E-48A23A63575D}"/>
    <cellStyle name="Normal 4 2 6 5 3" xfId="6394" xr:uid="{00000000-0005-0000-0000-000003140000}"/>
    <cellStyle name="Normal 4 2 6 5 3 2" xfId="23329" xr:uid="{469CE5F9-AEFC-418F-9DB5-906EEDE735E0}"/>
    <cellStyle name="Normal 4 2 6 5 3 3" xfId="14888" xr:uid="{D414E268-74EF-4835-B373-899769016DA6}"/>
    <cellStyle name="Normal 4 2 6 5 4" xfId="19111" xr:uid="{B39286BE-2290-4D14-8799-1366131A0986}"/>
    <cellStyle name="Normal 4 2 6 5 5" xfId="10637" xr:uid="{CD815E73-F032-485C-A5C5-C33FBB270794}"/>
    <cellStyle name="Normal 4 2 6 6" xfId="2524" xr:uid="{00000000-0005-0000-0000-000004140000}"/>
    <cellStyle name="Normal 4 2 6 6 2" xfId="6807" xr:uid="{00000000-0005-0000-0000-000005140000}"/>
    <cellStyle name="Normal 4 2 6 6 2 2" xfId="23742" xr:uid="{7F3F0BA3-D8DB-4E06-B1C6-38FE9ED583AB}"/>
    <cellStyle name="Normal 4 2 6 6 2 3" xfId="15301" xr:uid="{A5FE0B45-9EC6-416A-8883-CEA237DB5D9A}"/>
    <cellStyle name="Normal 4 2 6 6 3" xfId="19524" xr:uid="{5A2FD258-18DD-421B-842B-6E7D73559F53}"/>
    <cellStyle name="Normal 4 2 6 6 4" xfId="11072" xr:uid="{E3F2CB2C-9948-4128-A9E7-F6D96A7B89C5}"/>
    <cellStyle name="Normal 4 2 6 7" xfId="4742" xr:uid="{00000000-0005-0000-0000-000006140000}"/>
    <cellStyle name="Normal 4 2 6 7 2" xfId="21677" xr:uid="{1C5FB9FC-751A-4410-9A0F-995195FF495E}"/>
    <cellStyle name="Normal 4 2 6 7 3" xfId="13236" xr:uid="{3C6919A5-1714-43CE-BC08-3AACB30FE19E}"/>
    <cellStyle name="Normal 4 2 6 8" xfId="17459" xr:uid="{6B9B622E-695D-438B-AEA5-A7DE8FCF44E3}"/>
    <cellStyle name="Normal 4 2 6 9" xfId="8984" xr:uid="{2EE1ADAE-B242-410D-8320-AA1B7C39D86D}"/>
    <cellStyle name="Normal 4 3" xfId="366" xr:uid="{00000000-0005-0000-0000-000007140000}"/>
    <cellStyle name="Normal 4 3 10" xfId="17460" xr:uid="{BB16A550-AA80-4BDA-81C4-4D2E7ED130D5}"/>
    <cellStyle name="Normal 4 3 11" xfId="8985" xr:uid="{371C856F-5F3F-4CA0-9A3F-A71BF8B2142C}"/>
    <cellStyle name="Normal 4 3 2" xfId="367" xr:uid="{00000000-0005-0000-0000-000008140000}"/>
    <cellStyle name="Normal 4 3 2 2" xfId="368" xr:uid="{00000000-0005-0000-0000-000009140000}"/>
    <cellStyle name="Normal 4 3 2 2 2" xfId="369" xr:uid="{00000000-0005-0000-0000-00000A140000}"/>
    <cellStyle name="Normal 4 3 2 2 2 10" xfId="17461" xr:uid="{381F4D87-3D7C-4302-97AF-02FA67A73C94}"/>
    <cellStyle name="Normal 4 3 2 2 2 11" xfId="8986" xr:uid="{709DCA5F-85C9-414F-A44E-C6A96F7EF259}"/>
    <cellStyle name="Normal 4 3 2 2 2 2" xfId="370" xr:uid="{00000000-0005-0000-0000-00000B140000}"/>
    <cellStyle name="Normal 4 3 2 2 2 2 10" xfId="8987" xr:uid="{A177C85F-14D1-4FB8-9DAC-C004A56D42B5}"/>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4239" xr:uid="{947C0543-E4BD-4992-BDA5-0D8563892483}"/>
    <cellStyle name="Normal 4 3 2 2 2 2 2 2 2 2 3" xfId="15798" xr:uid="{51593AB6-60CF-4562-8FC3-D7CE44EE6612}"/>
    <cellStyle name="Normal 4 3 2 2 2 2 2 2 2 3" xfId="20021" xr:uid="{5B0AA62C-216E-499B-84A0-AE86BCE0762D}"/>
    <cellStyle name="Normal 4 3 2 2 2 2 2 2 2 4" xfId="11579" xr:uid="{1B749D84-F6C3-4780-B2D9-A06092BC1866}"/>
    <cellStyle name="Normal 4 3 2 2 2 2 2 2 3" xfId="5159" xr:uid="{00000000-0005-0000-0000-000010140000}"/>
    <cellStyle name="Normal 4 3 2 2 2 2 2 2 3 2" xfId="22094" xr:uid="{B36A9D78-21A4-4D79-B57D-619F03F9DD87}"/>
    <cellStyle name="Normal 4 3 2 2 2 2 2 2 3 3" xfId="13653" xr:uid="{658ADF5F-7236-4E96-9B6D-98A0BC8514CA}"/>
    <cellStyle name="Normal 4 3 2 2 2 2 2 2 4" xfId="17876" xr:uid="{5D48381C-CFE4-49CB-ACF2-287B70708475}"/>
    <cellStyle name="Normal 4 3 2 2 2 2 2 2 5" xfId="9402" xr:uid="{9CA2EED9-6D79-4EEC-9CB6-97C77CA34E78}"/>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4652" xr:uid="{793C2342-44EE-4FD8-A057-8301B8B8EB8E}"/>
    <cellStyle name="Normal 4 3 2 2 2 2 2 3 2 2 3" xfId="16211" xr:uid="{6C3FCD74-047B-4AB4-9D14-62281AE42DFA}"/>
    <cellStyle name="Normal 4 3 2 2 2 2 2 3 2 3" xfId="20434" xr:uid="{D4186006-7C26-40AF-8B8B-3B024D021CBC}"/>
    <cellStyle name="Normal 4 3 2 2 2 2 2 3 2 4" xfId="11992" xr:uid="{012357A1-9CEA-4807-A667-BCD0657B7AA0}"/>
    <cellStyle name="Normal 4 3 2 2 2 2 2 3 3" xfId="5572" xr:uid="{00000000-0005-0000-0000-000014140000}"/>
    <cellStyle name="Normal 4 3 2 2 2 2 2 3 3 2" xfId="22507" xr:uid="{D334A774-4798-49F6-B455-A6CAA7573887}"/>
    <cellStyle name="Normal 4 3 2 2 2 2 2 3 3 3" xfId="14066" xr:uid="{2548EBF0-13ED-43EE-B515-5E9C9EB17367}"/>
    <cellStyle name="Normal 4 3 2 2 2 2 2 3 4" xfId="18289" xr:uid="{E0F2E099-00C8-45D0-BDE5-A9416FB13A66}"/>
    <cellStyle name="Normal 4 3 2 2 2 2 2 3 5" xfId="9815" xr:uid="{C6501342-C4A6-46DD-B2A6-403DE4B79D86}"/>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065" xr:uid="{0BB97DCA-317A-4D7E-9FFE-A2E20E653786}"/>
    <cellStyle name="Normal 4 3 2 2 2 2 2 4 2 2 3" xfId="16624" xr:uid="{C7533A6D-BA3C-440A-AA0A-DF5434033E47}"/>
    <cellStyle name="Normal 4 3 2 2 2 2 2 4 2 3" xfId="20847" xr:uid="{82155E29-BD1A-4741-950B-1C505E5E7FE1}"/>
    <cellStyle name="Normal 4 3 2 2 2 2 2 4 2 4" xfId="12405" xr:uid="{E0D85B36-3A42-4E16-80CF-A844F54D0396}"/>
    <cellStyle name="Normal 4 3 2 2 2 2 2 4 3" xfId="5985" xr:uid="{00000000-0005-0000-0000-000018140000}"/>
    <cellStyle name="Normal 4 3 2 2 2 2 2 4 3 2" xfId="22920" xr:uid="{A37458DE-8680-4899-950C-9A4DAD4BA777}"/>
    <cellStyle name="Normal 4 3 2 2 2 2 2 4 3 3" xfId="14479" xr:uid="{718B7097-6178-4C7D-8C14-912CAD030130}"/>
    <cellStyle name="Normal 4 3 2 2 2 2 2 4 4" xfId="18702" xr:uid="{DF62100E-C98F-4FE4-A404-399CBE84924B}"/>
    <cellStyle name="Normal 4 3 2 2 2 2 2 4 5" xfId="10228" xr:uid="{DA0E059F-1DDA-4C88-B804-3272EFF08E94}"/>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5478" xr:uid="{F7B4E112-479E-4475-9826-EF1E9A24AFE2}"/>
    <cellStyle name="Normal 4 3 2 2 2 2 2 5 2 2 3" xfId="17037" xr:uid="{A2682DBB-D95E-4D26-88F9-70C90B7EF4FA}"/>
    <cellStyle name="Normal 4 3 2 2 2 2 2 5 2 3" xfId="21260" xr:uid="{654F780D-511B-44F5-BFC3-7DDB01D82812}"/>
    <cellStyle name="Normal 4 3 2 2 2 2 2 5 2 4" xfId="12818" xr:uid="{6074215A-A93D-4CA5-9B5E-CA89EAC08452}"/>
    <cellStyle name="Normal 4 3 2 2 2 2 2 5 3" xfId="6398" xr:uid="{00000000-0005-0000-0000-00001C140000}"/>
    <cellStyle name="Normal 4 3 2 2 2 2 2 5 3 2" xfId="23333" xr:uid="{9E99C99A-4D78-43BE-9FA8-989EADA02D35}"/>
    <cellStyle name="Normal 4 3 2 2 2 2 2 5 3 3" xfId="14892" xr:uid="{EED6752E-FD8A-4142-BB94-61B0386531B7}"/>
    <cellStyle name="Normal 4 3 2 2 2 2 2 5 4" xfId="19115" xr:uid="{2AEAF267-38E0-450A-9E83-A8D34E0E3914}"/>
    <cellStyle name="Normal 4 3 2 2 2 2 2 5 5" xfId="10641" xr:uid="{934953A1-7398-4C87-9038-9666FF71E34C}"/>
    <cellStyle name="Normal 4 3 2 2 2 2 2 6" xfId="2528" xr:uid="{00000000-0005-0000-0000-00001D140000}"/>
    <cellStyle name="Normal 4 3 2 2 2 2 2 6 2" xfId="6811" xr:uid="{00000000-0005-0000-0000-00001E140000}"/>
    <cellStyle name="Normal 4 3 2 2 2 2 2 6 2 2" xfId="23746" xr:uid="{CDA24EE1-3DB0-4E5B-9CE9-8DAA6BBC85DC}"/>
    <cellStyle name="Normal 4 3 2 2 2 2 2 6 2 3" xfId="15305" xr:uid="{9C045531-CA1F-4E51-BA73-869C1FE2AC72}"/>
    <cellStyle name="Normal 4 3 2 2 2 2 2 6 3" xfId="19528" xr:uid="{7259BA7A-BE4A-4217-B63F-0145854BF1F8}"/>
    <cellStyle name="Normal 4 3 2 2 2 2 2 6 4" xfId="11076" xr:uid="{76DD1D93-7034-46D4-817D-272375263B6B}"/>
    <cellStyle name="Normal 4 3 2 2 2 2 2 7" xfId="4746" xr:uid="{00000000-0005-0000-0000-00001F140000}"/>
    <cellStyle name="Normal 4 3 2 2 2 2 2 7 2" xfId="21681" xr:uid="{F3B4DE8F-7658-4834-AC58-04A68535F4CE}"/>
    <cellStyle name="Normal 4 3 2 2 2 2 2 7 3" xfId="13240" xr:uid="{39A7A28A-5BD4-46AF-8F12-C0AB04310866}"/>
    <cellStyle name="Normal 4 3 2 2 2 2 2 8" xfId="17463" xr:uid="{7A23F95B-8876-4A22-BE32-ECD15276C65C}"/>
    <cellStyle name="Normal 4 3 2 2 2 2 2 9" xfId="8988" xr:uid="{20156B6E-1297-46E1-B8D8-DB9366B78F3A}"/>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4238" xr:uid="{216C3676-9565-4DF1-BD8B-1178610E4CCA}"/>
    <cellStyle name="Normal 4 3 2 2 2 2 3 2 2 3" xfId="15797" xr:uid="{938E36B9-FC3E-4138-A238-E0F0D39CBE94}"/>
    <cellStyle name="Normal 4 3 2 2 2 2 3 2 3" xfId="20020" xr:uid="{69EC4228-BF7C-433E-B6BE-222A293AF683}"/>
    <cellStyle name="Normal 4 3 2 2 2 2 3 2 4" xfId="11578" xr:uid="{A1837263-7FC5-465E-A315-0D29A9C210AE}"/>
    <cellStyle name="Normal 4 3 2 2 2 2 3 3" xfId="5158" xr:uid="{00000000-0005-0000-0000-000023140000}"/>
    <cellStyle name="Normal 4 3 2 2 2 2 3 3 2" xfId="22093" xr:uid="{0189413C-ABD3-45E6-97C6-FF9BC4FE48BC}"/>
    <cellStyle name="Normal 4 3 2 2 2 2 3 3 3" xfId="13652" xr:uid="{7C86E7C8-C26C-43CD-B682-1C8AE42E6D82}"/>
    <cellStyle name="Normal 4 3 2 2 2 2 3 4" xfId="17875" xr:uid="{A731DDA0-B257-4CB6-B5FB-7866F63DACBD}"/>
    <cellStyle name="Normal 4 3 2 2 2 2 3 5" xfId="9401" xr:uid="{C2A4BE62-B572-48EF-91CE-ED07D9FDC715}"/>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4651" xr:uid="{9D6AB452-4869-4732-B636-D9CB037AF0FE}"/>
    <cellStyle name="Normal 4 3 2 2 2 2 4 2 2 3" xfId="16210" xr:uid="{7712CF6E-9570-40C8-95CD-074E1B221643}"/>
    <cellStyle name="Normal 4 3 2 2 2 2 4 2 3" xfId="20433" xr:uid="{0183CF0B-0D2C-4682-B41D-3D3BDE7FDBD2}"/>
    <cellStyle name="Normal 4 3 2 2 2 2 4 2 4" xfId="11991" xr:uid="{87A1D11D-B64F-40C2-A35E-9FDA435375C3}"/>
    <cellStyle name="Normal 4 3 2 2 2 2 4 3" xfId="5571" xr:uid="{00000000-0005-0000-0000-000027140000}"/>
    <cellStyle name="Normal 4 3 2 2 2 2 4 3 2" xfId="22506" xr:uid="{76359AA0-3CAE-460E-BD15-590D0215950C}"/>
    <cellStyle name="Normal 4 3 2 2 2 2 4 3 3" xfId="14065" xr:uid="{5848D72B-BD8F-4AAD-AC9B-E476C2ECF41C}"/>
    <cellStyle name="Normal 4 3 2 2 2 2 4 4" xfId="18288" xr:uid="{0F98B3E1-DD68-432B-BD9D-AF15995EDBF3}"/>
    <cellStyle name="Normal 4 3 2 2 2 2 4 5" xfId="9814" xr:uid="{4A00E833-B42F-4C61-BBAD-67502E20D30D}"/>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064" xr:uid="{AF8E6A69-13D0-40F3-9D9F-0BAB5EF750AC}"/>
    <cellStyle name="Normal 4 3 2 2 2 2 5 2 2 3" xfId="16623" xr:uid="{3342382D-C915-4E7A-A5BC-D210C3EBCF06}"/>
    <cellStyle name="Normal 4 3 2 2 2 2 5 2 3" xfId="20846" xr:uid="{ABC03654-B97F-4FD5-A8A4-67B83FE8E1B2}"/>
    <cellStyle name="Normal 4 3 2 2 2 2 5 2 4" xfId="12404" xr:uid="{7C19FCEC-CC7E-413C-8A74-EF7CE8756CA7}"/>
    <cellStyle name="Normal 4 3 2 2 2 2 5 3" xfId="5984" xr:uid="{00000000-0005-0000-0000-00002B140000}"/>
    <cellStyle name="Normal 4 3 2 2 2 2 5 3 2" xfId="22919" xr:uid="{2D81EBBF-FEED-4917-B5A2-BB52B776A0A9}"/>
    <cellStyle name="Normal 4 3 2 2 2 2 5 3 3" xfId="14478" xr:uid="{1C61425B-2D50-470D-B480-4F2E74467FD0}"/>
    <cellStyle name="Normal 4 3 2 2 2 2 5 4" xfId="18701" xr:uid="{4308ADBA-065E-45D4-A6EA-6E3E35C4E476}"/>
    <cellStyle name="Normal 4 3 2 2 2 2 5 5" xfId="10227" xr:uid="{EEB5A0DE-2E2F-450D-BAF6-093853475FA2}"/>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5477" xr:uid="{AB0F2F5B-5197-4D83-90DB-296280BD38A9}"/>
    <cellStyle name="Normal 4 3 2 2 2 2 6 2 2 3" xfId="17036" xr:uid="{67938B45-8491-4B6B-B90F-6A15BED2B31E}"/>
    <cellStyle name="Normal 4 3 2 2 2 2 6 2 3" xfId="21259" xr:uid="{A6BAA05A-7A44-4E1B-BB92-5809624BBEE7}"/>
    <cellStyle name="Normal 4 3 2 2 2 2 6 2 4" xfId="12817" xr:uid="{059F4FF3-2746-4C93-A14C-3A53EF94FAF8}"/>
    <cellStyle name="Normal 4 3 2 2 2 2 6 3" xfId="6397" xr:uid="{00000000-0005-0000-0000-00002F140000}"/>
    <cellStyle name="Normal 4 3 2 2 2 2 6 3 2" xfId="23332" xr:uid="{2FFDE6B5-2407-4B44-A48B-8AE6265ADFE4}"/>
    <cellStyle name="Normal 4 3 2 2 2 2 6 3 3" xfId="14891" xr:uid="{7C586145-E788-4102-9F60-8C704273AF74}"/>
    <cellStyle name="Normal 4 3 2 2 2 2 6 4" xfId="19114" xr:uid="{5BFEACEA-A4D9-4439-93F6-4E2FFB384BF5}"/>
    <cellStyle name="Normal 4 3 2 2 2 2 6 5" xfId="10640" xr:uid="{04E205E3-A9A1-4742-9DCD-8F82550732EF}"/>
    <cellStyle name="Normal 4 3 2 2 2 2 7" xfId="2527" xr:uid="{00000000-0005-0000-0000-000030140000}"/>
    <cellStyle name="Normal 4 3 2 2 2 2 7 2" xfId="6810" xr:uid="{00000000-0005-0000-0000-000031140000}"/>
    <cellStyle name="Normal 4 3 2 2 2 2 7 2 2" xfId="23745" xr:uid="{97F269B1-FEC4-468B-8C54-375C6B48BFD3}"/>
    <cellStyle name="Normal 4 3 2 2 2 2 7 2 3" xfId="15304" xr:uid="{21E5D943-0202-4B7C-92AC-AB686EEE6904}"/>
    <cellStyle name="Normal 4 3 2 2 2 2 7 3" xfId="19527" xr:uid="{523DC3CC-F535-4095-9F35-67373B44EFE6}"/>
    <cellStyle name="Normal 4 3 2 2 2 2 7 4" xfId="11075" xr:uid="{575E3D28-F9EB-4447-A47E-6F6676EF0B6A}"/>
    <cellStyle name="Normal 4 3 2 2 2 2 8" xfId="4745" xr:uid="{00000000-0005-0000-0000-000032140000}"/>
    <cellStyle name="Normal 4 3 2 2 2 2 8 2" xfId="21680" xr:uid="{2773148F-5A16-4CE1-8476-6A2CC0A6114D}"/>
    <cellStyle name="Normal 4 3 2 2 2 2 8 3" xfId="13239" xr:uid="{0D65962E-48A6-4886-866C-D4A0AF1831D2}"/>
    <cellStyle name="Normal 4 3 2 2 2 2 9" xfId="17462" xr:uid="{ADF91C0D-8404-40D8-835C-AF5829C6DFAB}"/>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4240" xr:uid="{949530CF-2A98-4FDD-A1DF-B4C6D41424B5}"/>
    <cellStyle name="Normal 4 3 2 2 2 3 2 2 2 3" xfId="15799" xr:uid="{76B1F06F-9097-4BD1-AF9C-F503FAEBFAE1}"/>
    <cellStyle name="Normal 4 3 2 2 2 3 2 2 3" xfId="20022" xr:uid="{7004E580-4681-4E5F-8D51-DF093AFAD4BD}"/>
    <cellStyle name="Normal 4 3 2 2 2 3 2 2 4" xfId="11580" xr:uid="{0EE03AA9-A77E-48D2-BBBD-83B771487AA0}"/>
    <cellStyle name="Normal 4 3 2 2 2 3 2 3" xfId="5160" xr:uid="{00000000-0005-0000-0000-000037140000}"/>
    <cellStyle name="Normal 4 3 2 2 2 3 2 3 2" xfId="22095" xr:uid="{148E5E89-DDF2-4961-850A-DBAA058A301C}"/>
    <cellStyle name="Normal 4 3 2 2 2 3 2 3 3" xfId="13654" xr:uid="{B10A080D-DF95-4861-B44E-94F4348C33B4}"/>
    <cellStyle name="Normal 4 3 2 2 2 3 2 4" xfId="17877" xr:uid="{63B5ED79-0C7A-4ED3-AF4B-FD2D2E8921FC}"/>
    <cellStyle name="Normal 4 3 2 2 2 3 2 5" xfId="9403" xr:uid="{C28187BE-3948-42CE-89B9-C1E3920DC24C}"/>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4653" xr:uid="{259048EE-9477-48E3-AACD-D560B1B5E1FF}"/>
    <cellStyle name="Normal 4 3 2 2 2 3 3 2 2 3" xfId="16212" xr:uid="{1ED66BDE-4E33-41D1-88F1-65EE71227C90}"/>
    <cellStyle name="Normal 4 3 2 2 2 3 3 2 3" xfId="20435" xr:uid="{3DCF6C85-4702-491C-857F-AD1AAA3CFA73}"/>
    <cellStyle name="Normal 4 3 2 2 2 3 3 2 4" xfId="11993" xr:uid="{06827156-1724-4026-AB50-13344D09AF4E}"/>
    <cellStyle name="Normal 4 3 2 2 2 3 3 3" xfId="5573" xr:uid="{00000000-0005-0000-0000-00003B140000}"/>
    <cellStyle name="Normal 4 3 2 2 2 3 3 3 2" xfId="22508" xr:uid="{04CEED74-AF21-4825-96DF-3ECCA0592AB7}"/>
    <cellStyle name="Normal 4 3 2 2 2 3 3 3 3" xfId="14067" xr:uid="{C0EE091A-6C82-4CFB-8EA3-8B84AAA51E7A}"/>
    <cellStyle name="Normal 4 3 2 2 2 3 3 4" xfId="18290" xr:uid="{651BE5F9-1B77-47D3-880F-A0354D811DB0}"/>
    <cellStyle name="Normal 4 3 2 2 2 3 3 5" xfId="9816" xr:uid="{7E91996F-EAFC-4F67-B1A6-518E0282BB04}"/>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066" xr:uid="{99E53F45-8344-4A9A-A2DD-E0550B5D80D0}"/>
    <cellStyle name="Normal 4 3 2 2 2 3 4 2 2 3" xfId="16625" xr:uid="{44DE0115-59CC-4955-AD8F-7F34E5BD5C97}"/>
    <cellStyle name="Normal 4 3 2 2 2 3 4 2 3" xfId="20848" xr:uid="{C209B145-F6A5-4701-A54C-79882B60E134}"/>
    <cellStyle name="Normal 4 3 2 2 2 3 4 2 4" xfId="12406" xr:uid="{3DA35CD0-0F82-45AC-BC3E-610D77A2A2BD}"/>
    <cellStyle name="Normal 4 3 2 2 2 3 4 3" xfId="5986" xr:uid="{00000000-0005-0000-0000-00003F140000}"/>
    <cellStyle name="Normal 4 3 2 2 2 3 4 3 2" xfId="22921" xr:uid="{9CEF5CF3-B6CF-481F-B0CD-4315D2A9F273}"/>
    <cellStyle name="Normal 4 3 2 2 2 3 4 3 3" xfId="14480" xr:uid="{5445E53D-6324-476E-9F6D-A1710E6F8C23}"/>
    <cellStyle name="Normal 4 3 2 2 2 3 4 4" xfId="18703" xr:uid="{59C19E54-2D34-461D-A98D-A14CF4C88602}"/>
    <cellStyle name="Normal 4 3 2 2 2 3 4 5" xfId="10229" xr:uid="{4648E26C-C10B-4D6D-B6DB-89A1EB1C98FE}"/>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5479" xr:uid="{841DDE59-6447-4EB6-AD1D-7FFD6CA6D1EF}"/>
    <cellStyle name="Normal 4 3 2 2 2 3 5 2 2 3" xfId="17038" xr:uid="{7B282F89-129C-4694-A9AC-E1672C1E9A2E}"/>
    <cellStyle name="Normal 4 3 2 2 2 3 5 2 3" xfId="21261" xr:uid="{ED4646B9-DDB6-4DBF-B21C-1E82650E009C}"/>
    <cellStyle name="Normal 4 3 2 2 2 3 5 2 4" xfId="12819" xr:uid="{F52A68CD-0741-410A-9C13-B514AEC8A839}"/>
    <cellStyle name="Normal 4 3 2 2 2 3 5 3" xfId="6399" xr:uid="{00000000-0005-0000-0000-000043140000}"/>
    <cellStyle name="Normal 4 3 2 2 2 3 5 3 2" xfId="23334" xr:uid="{0C8E158B-9DFD-4F70-9B99-2383E7E8ADB6}"/>
    <cellStyle name="Normal 4 3 2 2 2 3 5 3 3" xfId="14893" xr:uid="{2244DF88-2CD0-4AD6-8748-068C51D46EEB}"/>
    <cellStyle name="Normal 4 3 2 2 2 3 5 4" xfId="19116" xr:uid="{02AE9244-264B-476F-A533-C96D5D6573D3}"/>
    <cellStyle name="Normal 4 3 2 2 2 3 5 5" xfId="10642" xr:uid="{C4D85BC9-D705-4A78-A14F-D99EDCB3B801}"/>
    <cellStyle name="Normal 4 3 2 2 2 3 6" xfId="2529" xr:uid="{00000000-0005-0000-0000-000044140000}"/>
    <cellStyle name="Normal 4 3 2 2 2 3 6 2" xfId="6812" xr:uid="{00000000-0005-0000-0000-000045140000}"/>
    <cellStyle name="Normal 4 3 2 2 2 3 6 2 2" xfId="23747" xr:uid="{7ABB4A6D-DCC3-46A6-A5E4-C316EDE57C33}"/>
    <cellStyle name="Normal 4 3 2 2 2 3 6 2 3" xfId="15306" xr:uid="{CF78E001-912F-44A9-9B03-06565D5A247D}"/>
    <cellStyle name="Normal 4 3 2 2 2 3 6 3" xfId="19529" xr:uid="{4CEFF54F-C624-4CFB-9E6D-363AFFE0B2D2}"/>
    <cellStyle name="Normal 4 3 2 2 2 3 6 4" xfId="11077" xr:uid="{D0E8FFF8-6936-4A90-9EFA-C5613A11FF08}"/>
    <cellStyle name="Normal 4 3 2 2 2 3 7" xfId="4747" xr:uid="{00000000-0005-0000-0000-000046140000}"/>
    <cellStyle name="Normal 4 3 2 2 2 3 7 2" xfId="21682" xr:uid="{9E18CC1B-CF91-42FE-AE0E-DE85A2B7FFC5}"/>
    <cellStyle name="Normal 4 3 2 2 2 3 7 3" xfId="13241" xr:uid="{27088381-6908-4062-9155-AD46F8256C55}"/>
    <cellStyle name="Normal 4 3 2 2 2 3 8" xfId="17464" xr:uid="{D7B25E96-4DE0-4A65-A5D8-785EB561E185}"/>
    <cellStyle name="Normal 4 3 2 2 2 3 9" xfId="8989" xr:uid="{3903E3E6-2581-4740-AFAA-A63103C83599}"/>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4237" xr:uid="{8A506F12-80FC-4473-9098-AC528022AAF5}"/>
    <cellStyle name="Normal 4 3 2 2 2 4 2 2 3" xfId="15796" xr:uid="{9AC7355A-7DCD-4E31-8D3F-FB0394E59235}"/>
    <cellStyle name="Normal 4 3 2 2 2 4 2 3" xfId="20019" xr:uid="{774F67DD-EED7-41CB-92BB-A0E016F59AAD}"/>
    <cellStyle name="Normal 4 3 2 2 2 4 2 4" xfId="11577" xr:uid="{A4F01879-85A4-419F-9BEA-5B55E4D4C31B}"/>
    <cellStyle name="Normal 4 3 2 2 2 4 3" xfId="5157" xr:uid="{00000000-0005-0000-0000-00004A140000}"/>
    <cellStyle name="Normal 4 3 2 2 2 4 3 2" xfId="22092" xr:uid="{27CFE8B6-2474-4696-B55C-E37CAEF7EDE9}"/>
    <cellStyle name="Normal 4 3 2 2 2 4 3 3" xfId="13651" xr:uid="{0FF13C9B-3041-44FF-A7F5-1F93CD917403}"/>
    <cellStyle name="Normal 4 3 2 2 2 4 4" xfId="17874" xr:uid="{8DFC4052-AA0E-4F85-8593-AD14DAE143C8}"/>
    <cellStyle name="Normal 4 3 2 2 2 4 5" xfId="9400" xr:uid="{8DF89F12-AD66-4159-BD6A-8BA5A1CE4F11}"/>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4650" xr:uid="{1978EA38-66B1-463C-880B-EB196D56A545}"/>
    <cellStyle name="Normal 4 3 2 2 2 5 2 2 3" xfId="16209" xr:uid="{DFD148CD-03ED-45B7-ABC0-3D17DFBA9F20}"/>
    <cellStyle name="Normal 4 3 2 2 2 5 2 3" xfId="20432" xr:uid="{E522FE51-DDE0-488B-AF2E-796F6B12E02F}"/>
    <cellStyle name="Normal 4 3 2 2 2 5 2 4" xfId="11990" xr:uid="{42F9C160-1184-4904-A115-C6040F1EAB4C}"/>
    <cellStyle name="Normal 4 3 2 2 2 5 3" xfId="5570" xr:uid="{00000000-0005-0000-0000-00004E140000}"/>
    <cellStyle name="Normal 4 3 2 2 2 5 3 2" xfId="22505" xr:uid="{1DEC787F-226A-4BDF-BB3A-3D80099F52F6}"/>
    <cellStyle name="Normal 4 3 2 2 2 5 3 3" xfId="14064" xr:uid="{1CDB2907-9E66-45E2-B92A-4C95BEAD15D4}"/>
    <cellStyle name="Normal 4 3 2 2 2 5 4" xfId="18287" xr:uid="{E1433939-ECAB-4842-8AA4-7CB78A41A7F6}"/>
    <cellStyle name="Normal 4 3 2 2 2 5 5" xfId="9813" xr:uid="{E4E997E5-A76D-440F-B140-836159C52571}"/>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063" xr:uid="{C83C2F14-7698-441A-9E09-B6B811C68B05}"/>
    <cellStyle name="Normal 4 3 2 2 2 6 2 2 3" xfId="16622" xr:uid="{2D793E65-4FB4-4896-B99D-B2AC344AD72A}"/>
    <cellStyle name="Normal 4 3 2 2 2 6 2 3" xfId="20845" xr:uid="{A09F83D7-D363-4E2E-A81D-9E0FD0B84A9B}"/>
    <cellStyle name="Normal 4 3 2 2 2 6 2 4" xfId="12403" xr:uid="{998A5D39-1F42-4BD9-A7D9-784989E9C6AD}"/>
    <cellStyle name="Normal 4 3 2 2 2 6 3" xfId="5983" xr:uid="{00000000-0005-0000-0000-000052140000}"/>
    <cellStyle name="Normal 4 3 2 2 2 6 3 2" xfId="22918" xr:uid="{1A16946D-3692-4B03-BDD0-5E3A7FA38F4D}"/>
    <cellStyle name="Normal 4 3 2 2 2 6 3 3" xfId="14477" xr:uid="{E3E092AD-875B-4C46-B6ED-0AC6D67CB7E2}"/>
    <cellStyle name="Normal 4 3 2 2 2 6 4" xfId="18700" xr:uid="{947F7D8C-6EC6-4E88-8C68-BB660CC8C2A2}"/>
    <cellStyle name="Normal 4 3 2 2 2 6 5" xfId="10226" xr:uid="{ED164BCF-0211-4802-B29C-A9A19C5C7887}"/>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5476" xr:uid="{8962FA56-8FE9-4DD7-8DBE-692C50812AD1}"/>
    <cellStyle name="Normal 4 3 2 2 2 7 2 2 3" xfId="17035" xr:uid="{E42165B4-252F-49FD-BC2F-63903799663A}"/>
    <cellStyle name="Normal 4 3 2 2 2 7 2 3" xfId="21258" xr:uid="{85D2A6C8-8D2B-4175-A598-0D82542EEA84}"/>
    <cellStyle name="Normal 4 3 2 2 2 7 2 4" xfId="12816" xr:uid="{09D4A12F-0950-477D-AD3A-0E11B4DD97AA}"/>
    <cellStyle name="Normal 4 3 2 2 2 7 3" xfId="6396" xr:uid="{00000000-0005-0000-0000-000056140000}"/>
    <cellStyle name="Normal 4 3 2 2 2 7 3 2" xfId="23331" xr:uid="{F1C5CD8C-87A7-43FE-9BC8-2C7835C1743C}"/>
    <cellStyle name="Normal 4 3 2 2 2 7 3 3" xfId="14890" xr:uid="{31334E81-F67A-4887-9BB9-FD0441987AC7}"/>
    <cellStyle name="Normal 4 3 2 2 2 7 4" xfId="19113" xr:uid="{94455A29-C6CB-4EDF-A05C-EF4199FDE61D}"/>
    <cellStyle name="Normal 4 3 2 2 2 7 5" xfId="10639" xr:uid="{9C2AFAC9-9A5C-4968-A3F0-2667ADAE27BE}"/>
    <cellStyle name="Normal 4 3 2 2 2 8" xfId="2526" xr:uid="{00000000-0005-0000-0000-000057140000}"/>
    <cellStyle name="Normal 4 3 2 2 2 8 2" xfId="6809" xr:uid="{00000000-0005-0000-0000-000058140000}"/>
    <cellStyle name="Normal 4 3 2 2 2 8 2 2" xfId="23744" xr:uid="{42254A29-DC5D-4A2A-A63C-270A8513EB15}"/>
    <cellStyle name="Normal 4 3 2 2 2 8 2 3" xfId="15303" xr:uid="{581BB821-A278-438D-A955-1FDE36451426}"/>
    <cellStyle name="Normal 4 3 2 2 2 8 3" xfId="19526" xr:uid="{F47AF241-ACDE-403E-9F12-C9D6ABA2E1F6}"/>
    <cellStyle name="Normal 4 3 2 2 2 8 4" xfId="11074" xr:uid="{EC77DE19-33DE-45E7-91D8-908E5B642CF2}"/>
    <cellStyle name="Normal 4 3 2 2 2 9" xfId="4744" xr:uid="{00000000-0005-0000-0000-000059140000}"/>
    <cellStyle name="Normal 4 3 2 2 2 9 2" xfId="21679" xr:uid="{48CAE592-253E-4EE2-B912-A4937AE7557C}"/>
    <cellStyle name="Normal 4 3 2 2 2 9 3" xfId="13238" xr:uid="{95D45ACC-719C-4A21-8B83-69BA579D837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65" xr:uid="{837A5B88-5611-4556-90FA-800E0D1C864A}"/>
    <cellStyle name="Normal 4 3 3 11" xfId="8990" xr:uid="{E0B4D8E5-142D-4910-A8C3-B07D1CF9060C}"/>
    <cellStyle name="Normal 4 3 3 2" xfId="375" xr:uid="{00000000-0005-0000-0000-00005E140000}"/>
    <cellStyle name="Normal 4 3 3 2 10" xfId="8991" xr:uid="{13448A2C-6E2E-4818-A5C2-DA0E5316B201}"/>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4243" xr:uid="{6F22479A-DC13-4E5A-8089-9C9C99F0D011}"/>
    <cellStyle name="Normal 4 3 3 2 2 2 2 2 3" xfId="15802" xr:uid="{8A03459D-867F-410A-89F8-FDB9CCB069DC}"/>
    <cellStyle name="Normal 4 3 3 2 2 2 2 3" xfId="20025" xr:uid="{186D22F8-4DAF-4656-9F74-26020500D1D0}"/>
    <cellStyle name="Normal 4 3 3 2 2 2 2 4" xfId="11583" xr:uid="{7DD80E00-68AE-423F-B30A-00978FFD5582}"/>
    <cellStyle name="Normal 4 3 3 2 2 2 3" xfId="5163" xr:uid="{00000000-0005-0000-0000-000063140000}"/>
    <cellStyle name="Normal 4 3 3 2 2 2 3 2" xfId="22098" xr:uid="{8E7A4B06-8728-4224-8121-E39C4D01ED7C}"/>
    <cellStyle name="Normal 4 3 3 2 2 2 3 3" xfId="13657" xr:uid="{A6383725-A0F6-4BD2-A1CC-5087EC35B64F}"/>
    <cellStyle name="Normal 4 3 3 2 2 2 4" xfId="17880" xr:uid="{DC864713-24E0-4067-9385-6BDB5F197180}"/>
    <cellStyle name="Normal 4 3 3 2 2 2 5" xfId="9406" xr:uid="{07832DB4-0A73-492F-830E-2EBF5EBB276E}"/>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4656" xr:uid="{F4473DED-34BD-43A4-A118-8A34BCC9149A}"/>
    <cellStyle name="Normal 4 3 3 2 2 3 2 2 3" xfId="16215" xr:uid="{152F6554-3458-44CB-ADCF-967D15CB47FE}"/>
    <cellStyle name="Normal 4 3 3 2 2 3 2 3" xfId="20438" xr:uid="{8B3C81A5-41A8-4767-8E4F-C939CD60F80D}"/>
    <cellStyle name="Normal 4 3 3 2 2 3 2 4" xfId="11996" xr:uid="{4DA02BA4-D59C-4902-87D8-7C178FE37D24}"/>
    <cellStyle name="Normal 4 3 3 2 2 3 3" xfId="5576" xr:uid="{00000000-0005-0000-0000-000067140000}"/>
    <cellStyle name="Normal 4 3 3 2 2 3 3 2" xfId="22511" xr:uid="{19FB4347-0C6A-4EBC-9910-B217009A6C5F}"/>
    <cellStyle name="Normal 4 3 3 2 2 3 3 3" xfId="14070" xr:uid="{16D72A6A-5A40-40EE-B5F4-D42D73C34B16}"/>
    <cellStyle name="Normal 4 3 3 2 2 3 4" xfId="18293" xr:uid="{587AF4CA-F451-468E-B3D8-2E23A858491C}"/>
    <cellStyle name="Normal 4 3 3 2 2 3 5" xfId="9819" xr:uid="{2AD9E563-F340-4B65-9E31-FE2FB2727EC8}"/>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069" xr:uid="{5944B596-6DD1-4607-B908-620BDA3D8F86}"/>
    <cellStyle name="Normal 4 3 3 2 2 4 2 2 3" xfId="16628" xr:uid="{EC3A246A-B1D2-4450-9C60-22BFC905447E}"/>
    <cellStyle name="Normal 4 3 3 2 2 4 2 3" xfId="20851" xr:uid="{023B1021-F47F-4C6F-8F2B-ABBC81D3EA47}"/>
    <cellStyle name="Normal 4 3 3 2 2 4 2 4" xfId="12409" xr:uid="{12B4A939-2CF9-4365-9310-30978BFAB452}"/>
    <cellStyle name="Normal 4 3 3 2 2 4 3" xfId="5989" xr:uid="{00000000-0005-0000-0000-00006B140000}"/>
    <cellStyle name="Normal 4 3 3 2 2 4 3 2" xfId="22924" xr:uid="{210CBB6D-1E01-49AC-8699-3CC8BB7B6CA5}"/>
    <cellStyle name="Normal 4 3 3 2 2 4 3 3" xfId="14483" xr:uid="{EBB4B6FC-290E-4539-A796-4843BBABAE6A}"/>
    <cellStyle name="Normal 4 3 3 2 2 4 4" xfId="18706" xr:uid="{0367133F-69DC-414D-97BA-11D5C2795B84}"/>
    <cellStyle name="Normal 4 3 3 2 2 4 5" xfId="10232" xr:uid="{CA588F9D-72EF-4F93-AC5E-3260ED66AFF2}"/>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5482" xr:uid="{E8726817-BEE5-4D65-B150-D0D5CA0503D1}"/>
    <cellStyle name="Normal 4 3 3 2 2 5 2 2 3" xfId="17041" xr:uid="{0DDE5D85-76FF-415A-8B39-527AFBF83911}"/>
    <cellStyle name="Normal 4 3 3 2 2 5 2 3" xfId="21264" xr:uid="{8ADE117A-D48D-4A48-A6AA-852C7110958A}"/>
    <cellStyle name="Normal 4 3 3 2 2 5 2 4" xfId="12822" xr:uid="{C3E80AA3-F63A-4A3B-9F67-5FC94A6CD63C}"/>
    <cellStyle name="Normal 4 3 3 2 2 5 3" xfId="6402" xr:uid="{00000000-0005-0000-0000-00006F140000}"/>
    <cellStyle name="Normal 4 3 3 2 2 5 3 2" xfId="23337" xr:uid="{022A473A-99EE-4A6F-B73B-05090A6ED249}"/>
    <cellStyle name="Normal 4 3 3 2 2 5 3 3" xfId="14896" xr:uid="{23AB339D-C559-401A-A15E-D3C5F4C51CC6}"/>
    <cellStyle name="Normal 4 3 3 2 2 5 4" xfId="19119" xr:uid="{D5AAD47A-0E6D-4288-ADB5-345C9F144EA4}"/>
    <cellStyle name="Normal 4 3 3 2 2 5 5" xfId="10645" xr:uid="{92686F1A-69B7-425A-92BB-C8F38F038EE6}"/>
    <cellStyle name="Normal 4 3 3 2 2 6" xfId="2532" xr:uid="{00000000-0005-0000-0000-000070140000}"/>
    <cellStyle name="Normal 4 3 3 2 2 6 2" xfId="6815" xr:uid="{00000000-0005-0000-0000-000071140000}"/>
    <cellStyle name="Normal 4 3 3 2 2 6 2 2" xfId="23750" xr:uid="{7DD257FB-D13D-4DDC-BB69-62C1EFE78260}"/>
    <cellStyle name="Normal 4 3 3 2 2 6 2 3" xfId="15309" xr:uid="{221D10D1-D00E-4078-AA67-5BC286B9C70D}"/>
    <cellStyle name="Normal 4 3 3 2 2 6 3" xfId="19532" xr:uid="{6A29FA3D-BBE7-494A-8287-4C89F52776EA}"/>
    <cellStyle name="Normal 4 3 3 2 2 6 4" xfId="11080" xr:uid="{8D42D800-6490-4C08-A085-16952D99DBCB}"/>
    <cellStyle name="Normal 4 3 3 2 2 7" xfId="4750" xr:uid="{00000000-0005-0000-0000-000072140000}"/>
    <cellStyle name="Normal 4 3 3 2 2 7 2" xfId="21685" xr:uid="{B2B1ACC7-D500-4614-BEB1-DAA8307FE575}"/>
    <cellStyle name="Normal 4 3 3 2 2 7 3" xfId="13244" xr:uid="{CAEC951E-20D1-4C83-93D1-05105D62BD10}"/>
    <cellStyle name="Normal 4 3 3 2 2 8" xfId="17467" xr:uid="{AFA6AA8F-B9A7-4C99-91F7-E58A289EA170}"/>
    <cellStyle name="Normal 4 3 3 2 2 9" xfId="8992" xr:uid="{21CFE2ED-967E-4574-9F60-72CA88B8BEA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4242" xr:uid="{D7D84E80-5D8A-4430-A2CD-8FE825AA461C}"/>
    <cellStyle name="Normal 4 3 3 2 3 2 2 3" xfId="15801" xr:uid="{C4010328-443B-432F-AAFA-D8D8342F43F2}"/>
    <cellStyle name="Normal 4 3 3 2 3 2 3" xfId="20024" xr:uid="{3CF3F153-2496-4C6B-BF7F-277102E8C59E}"/>
    <cellStyle name="Normal 4 3 3 2 3 2 4" xfId="11582" xr:uid="{7B98DDC1-223A-4A37-9612-DE599E5C4D28}"/>
    <cellStyle name="Normal 4 3 3 2 3 3" xfId="5162" xr:uid="{00000000-0005-0000-0000-000076140000}"/>
    <cellStyle name="Normal 4 3 3 2 3 3 2" xfId="22097" xr:uid="{38F6BC10-C372-49B9-899D-E1E4EB74D750}"/>
    <cellStyle name="Normal 4 3 3 2 3 3 3" xfId="13656" xr:uid="{4E405838-B077-4D79-BB24-E84CF6FB95C5}"/>
    <cellStyle name="Normal 4 3 3 2 3 4" xfId="17879" xr:uid="{8FC217E2-7CE4-48FE-9857-C369688A926A}"/>
    <cellStyle name="Normal 4 3 3 2 3 5" xfId="9405" xr:uid="{9B88498F-3A22-4A76-90AB-52D2626A38AF}"/>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4655" xr:uid="{5A8E6ACE-6570-4866-ABF8-7157515F294A}"/>
    <cellStyle name="Normal 4 3 3 2 4 2 2 3" xfId="16214" xr:uid="{2E84D7E1-46B3-4041-94BC-E8A43D1558E5}"/>
    <cellStyle name="Normal 4 3 3 2 4 2 3" xfId="20437" xr:uid="{B1C40290-6312-4628-8AD7-D7C2A997313E}"/>
    <cellStyle name="Normal 4 3 3 2 4 2 4" xfId="11995" xr:uid="{F8431590-6CCD-4F35-861E-2EE685BA3D6A}"/>
    <cellStyle name="Normal 4 3 3 2 4 3" xfId="5575" xr:uid="{00000000-0005-0000-0000-00007A140000}"/>
    <cellStyle name="Normal 4 3 3 2 4 3 2" xfId="22510" xr:uid="{BF85A76C-834A-4DFA-9AC0-0C91D165D8A1}"/>
    <cellStyle name="Normal 4 3 3 2 4 3 3" xfId="14069" xr:uid="{A4338C71-13F4-40FE-BD0E-9A691A553C4E}"/>
    <cellStyle name="Normal 4 3 3 2 4 4" xfId="18292" xr:uid="{0ADD86AB-70E6-446D-99B6-0CB9913F8362}"/>
    <cellStyle name="Normal 4 3 3 2 4 5" xfId="9818" xr:uid="{CF190070-F998-4CBC-92C2-21B74445420A}"/>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068" xr:uid="{A1C3BA8D-7C15-4DD5-97AF-330BE9B1152A}"/>
    <cellStyle name="Normal 4 3 3 2 5 2 2 3" xfId="16627" xr:uid="{D9DBE9FB-353B-44A0-84D1-7C058D7E4848}"/>
    <cellStyle name="Normal 4 3 3 2 5 2 3" xfId="20850" xr:uid="{C949BEC5-4C23-4246-94FC-DCC6302CB41A}"/>
    <cellStyle name="Normal 4 3 3 2 5 2 4" xfId="12408" xr:uid="{0D4798F8-7A58-4EBB-9CBD-1894E2C92E47}"/>
    <cellStyle name="Normal 4 3 3 2 5 3" xfId="5988" xr:uid="{00000000-0005-0000-0000-00007E140000}"/>
    <cellStyle name="Normal 4 3 3 2 5 3 2" xfId="22923" xr:uid="{5A04A81D-AFE0-4C4E-B655-A1A1459CC4F5}"/>
    <cellStyle name="Normal 4 3 3 2 5 3 3" xfId="14482" xr:uid="{0F479F92-1977-4AFC-A699-76DCB6A2A326}"/>
    <cellStyle name="Normal 4 3 3 2 5 4" xfId="18705" xr:uid="{7300D95C-6BE6-4346-A86A-334E7473605F}"/>
    <cellStyle name="Normal 4 3 3 2 5 5" xfId="10231" xr:uid="{212ACB02-162F-43C0-A971-A6E2C2130AB8}"/>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5481" xr:uid="{08DF5AC0-8CEC-446F-BA2C-F7C9EF9F879C}"/>
    <cellStyle name="Normal 4 3 3 2 6 2 2 3" xfId="17040" xr:uid="{72F93943-24BF-40C6-B336-6240DD42DD0B}"/>
    <cellStyle name="Normal 4 3 3 2 6 2 3" xfId="21263" xr:uid="{D89330C9-9D8E-4DB6-9D5E-B45339B53049}"/>
    <cellStyle name="Normal 4 3 3 2 6 2 4" xfId="12821" xr:uid="{63A50BD2-8113-4E04-B1ED-911BB5BAA8D8}"/>
    <cellStyle name="Normal 4 3 3 2 6 3" xfId="6401" xr:uid="{00000000-0005-0000-0000-000082140000}"/>
    <cellStyle name="Normal 4 3 3 2 6 3 2" xfId="23336" xr:uid="{D49FC70E-F83F-4662-921E-F012848F8D3C}"/>
    <cellStyle name="Normal 4 3 3 2 6 3 3" xfId="14895" xr:uid="{6605CC3D-6AF2-4913-B38A-8FE39057DCBE}"/>
    <cellStyle name="Normal 4 3 3 2 6 4" xfId="19118" xr:uid="{93A85BBB-ACE9-45EC-A937-2BEBC5681CF7}"/>
    <cellStyle name="Normal 4 3 3 2 6 5" xfId="10644" xr:uid="{0DA62B41-E7DD-48D4-A3B1-CEE2A03B5D85}"/>
    <cellStyle name="Normal 4 3 3 2 7" xfId="2531" xr:uid="{00000000-0005-0000-0000-000083140000}"/>
    <cellStyle name="Normal 4 3 3 2 7 2" xfId="6814" xr:uid="{00000000-0005-0000-0000-000084140000}"/>
    <cellStyle name="Normal 4 3 3 2 7 2 2" xfId="23749" xr:uid="{52619874-A954-4D4C-97B9-64A8A8FFD6E0}"/>
    <cellStyle name="Normal 4 3 3 2 7 2 3" xfId="15308" xr:uid="{0C7BE6D2-D651-41DF-9A0A-E4372B2FEE17}"/>
    <cellStyle name="Normal 4 3 3 2 7 3" xfId="19531" xr:uid="{8F156D0C-56F3-4F22-981B-C4CFF32D9164}"/>
    <cellStyle name="Normal 4 3 3 2 7 4" xfId="11079" xr:uid="{4262E507-570E-47F5-B7BF-FDC5621BD4C7}"/>
    <cellStyle name="Normal 4 3 3 2 8" xfId="4749" xr:uid="{00000000-0005-0000-0000-000085140000}"/>
    <cellStyle name="Normal 4 3 3 2 8 2" xfId="21684" xr:uid="{BC780198-5D00-407E-A4EF-2D49A9DD1494}"/>
    <cellStyle name="Normal 4 3 3 2 8 3" xfId="13243" xr:uid="{F05C357F-9853-470C-98B8-5C754D38FBBC}"/>
    <cellStyle name="Normal 4 3 3 2 9" xfId="17466" xr:uid="{A045C288-D473-42E8-B8A2-22CC9E26DB3C}"/>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4244" xr:uid="{847FB2E4-89F4-45C4-BD52-FB10352A11FC}"/>
    <cellStyle name="Normal 4 3 3 3 2 2 2 3" xfId="15803" xr:uid="{668B1677-DD2E-46EA-9D8B-CB372C6A14F6}"/>
    <cellStyle name="Normal 4 3 3 3 2 2 3" xfId="20026" xr:uid="{2AB1E947-23F3-4713-B269-E8B0E3F6544B}"/>
    <cellStyle name="Normal 4 3 3 3 2 2 4" xfId="11584" xr:uid="{E2500C84-67A6-45D4-9A6F-0A48F7316A69}"/>
    <cellStyle name="Normal 4 3 3 3 2 3" xfId="5164" xr:uid="{00000000-0005-0000-0000-00008A140000}"/>
    <cellStyle name="Normal 4 3 3 3 2 3 2" xfId="22099" xr:uid="{98D9F9DF-DB1B-4FBA-84ED-09A0345D3269}"/>
    <cellStyle name="Normal 4 3 3 3 2 3 3" xfId="13658" xr:uid="{45FF02D4-64AD-4838-8E49-F0E80F695886}"/>
    <cellStyle name="Normal 4 3 3 3 2 4" xfId="17881" xr:uid="{F0DCE3A7-6030-488A-9935-A86CEF38BCEB}"/>
    <cellStyle name="Normal 4 3 3 3 2 5" xfId="9407" xr:uid="{4938C7FF-56A9-4AA0-9646-2D10E184C58B}"/>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4657" xr:uid="{4E405384-901C-4A03-BDD6-8CFA16655AD5}"/>
    <cellStyle name="Normal 4 3 3 3 3 2 2 3" xfId="16216" xr:uid="{5945EFDE-30AA-4283-934F-91D421A4ABB2}"/>
    <cellStyle name="Normal 4 3 3 3 3 2 3" xfId="20439" xr:uid="{284040D5-1BB5-4F64-8B0F-1727E58EF6D6}"/>
    <cellStyle name="Normal 4 3 3 3 3 2 4" xfId="11997" xr:uid="{58FF5EF1-448E-486A-87A5-39EA144EBBDD}"/>
    <cellStyle name="Normal 4 3 3 3 3 3" xfId="5577" xr:uid="{00000000-0005-0000-0000-00008E140000}"/>
    <cellStyle name="Normal 4 3 3 3 3 3 2" xfId="22512" xr:uid="{4258F9EA-D30F-463A-9499-4BACF3DC4159}"/>
    <cellStyle name="Normal 4 3 3 3 3 3 3" xfId="14071" xr:uid="{F086F785-A551-4545-9038-DA0D1A8CA5E1}"/>
    <cellStyle name="Normal 4 3 3 3 3 4" xfId="18294" xr:uid="{0F2E588B-B992-4D7B-935E-58CC5FABB672}"/>
    <cellStyle name="Normal 4 3 3 3 3 5" xfId="9820" xr:uid="{086E5032-6763-44BC-8C89-12E179D69E4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070" xr:uid="{5A24DFD7-2E59-44A6-8E7E-9DE5B03A4A1A}"/>
    <cellStyle name="Normal 4 3 3 3 4 2 2 3" xfId="16629" xr:uid="{309996AD-571C-409B-8D29-C630ED7FFEC2}"/>
    <cellStyle name="Normal 4 3 3 3 4 2 3" xfId="20852" xr:uid="{F7EB1DD5-17C7-41DD-A4AD-1129E73A2F69}"/>
    <cellStyle name="Normal 4 3 3 3 4 2 4" xfId="12410" xr:uid="{AB343E04-4FCF-4599-ADA3-355FA9AE39AA}"/>
    <cellStyle name="Normal 4 3 3 3 4 3" xfId="5990" xr:uid="{00000000-0005-0000-0000-000092140000}"/>
    <cellStyle name="Normal 4 3 3 3 4 3 2" xfId="22925" xr:uid="{FA59FB98-5937-4191-87E1-C1227C87B935}"/>
    <cellStyle name="Normal 4 3 3 3 4 3 3" xfId="14484" xr:uid="{19CCB66F-0E82-43AB-BA56-B868C48DDF2C}"/>
    <cellStyle name="Normal 4 3 3 3 4 4" xfId="18707" xr:uid="{044759D7-B163-4415-83EE-09FCF7C156BF}"/>
    <cellStyle name="Normal 4 3 3 3 4 5" xfId="10233" xr:uid="{30209977-9A06-410F-9B88-5D215196E62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5483" xr:uid="{DE1BB2D1-AB05-4117-A2D2-20C710F821AD}"/>
    <cellStyle name="Normal 4 3 3 3 5 2 2 3" xfId="17042" xr:uid="{B5D3732C-8BC8-4BAC-A1D7-AE56480B8DA8}"/>
    <cellStyle name="Normal 4 3 3 3 5 2 3" xfId="21265" xr:uid="{6BE37CAC-C946-46AD-A4FB-355041E87FE2}"/>
    <cellStyle name="Normal 4 3 3 3 5 2 4" xfId="12823" xr:uid="{407216FD-4BDD-4947-AC09-6438C1A1FA89}"/>
    <cellStyle name="Normal 4 3 3 3 5 3" xfId="6403" xr:uid="{00000000-0005-0000-0000-000096140000}"/>
    <cellStyle name="Normal 4 3 3 3 5 3 2" xfId="23338" xr:uid="{B57A5B9D-5266-4813-A45C-BCBDA0159C26}"/>
    <cellStyle name="Normal 4 3 3 3 5 3 3" xfId="14897" xr:uid="{C50BF66E-540D-40A7-B8CE-0F1246B6C77C}"/>
    <cellStyle name="Normal 4 3 3 3 5 4" xfId="19120" xr:uid="{E2EB44BF-1417-49F9-B318-3928EF9AF17C}"/>
    <cellStyle name="Normal 4 3 3 3 5 5" xfId="10646" xr:uid="{3FCA93B9-63E4-4493-A608-C125982A3980}"/>
    <cellStyle name="Normal 4 3 3 3 6" xfId="2533" xr:uid="{00000000-0005-0000-0000-000097140000}"/>
    <cellStyle name="Normal 4 3 3 3 6 2" xfId="6816" xr:uid="{00000000-0005-0000-0000-000098140000}"/>
    <cellStyle name="Normal 4 3 3 3 6 2 2" xfId="23751" xr:uid="{3F10FCCA-3077-4C10-ACA9-450A982F2D4A}"/>
    <cellStyle name="Normal 4 3 3 3 6 2 3" xfId="15310" xr:uid="{40E9E7AF-DE8D-4CD2-925A-626CC76797DD}"/>
    <cellStyle name="Normal 4 3 3 3 6 3" xfId="19533" xr:uid="{3DA5CA30-9087-4F5D-B831-137025310806}"/>
    <cellStyle name="Normal 4 3 3 3 6 4" xfId="11081" xr:uid="{F59E468F-7543-42AF-B0A8-2A7E690EF665}"/>
    <cellStyle name="Normal 4 3 3 3 7" xfId="4751" xr:uid="{00000000-0005-0000-0000-000099140000}"/>
    <cellStyle name="Normal 4 3 3 3 7 2" xfId="21686" xr:uid="{B3DF2DD7-DE87-4BB9-A5A9-8D2C85A909D4}"/>
    <cellStyle name="Normal 4 3 3 3 7 3" xfId="13245" xr:uid="{203DC4E3-2046-49DF-8954-6D9B5EBB7AD8}"/>
    <cellStyle name="Normal 4 3 3 3 8" xfId="17468" xr:uid="{9175DE84-64A2-42D4-9D69-72BA68337C3F}"/>
    <cellStyle name="Normal 4 3 3 3 9" xfId="8993" xr:uid="{7EDB830E-4526-4D81-BFDE-DB042E993973}"/>
    <cellStyle name="Normal 4 3 3 4" xfId="849" xr:uid="{00000000-0005-0000-0000-00009A140000}"/>
    <cellStyle name="Normal 4 3 3 4 2" xfId="3084" xr:uid="{00000000-0005-0000-0000-00009B140000}"/>
    <cellStyle name="Normal 4 3 3 4 2 2" xfId="7306" xr:uid="{00000000-0005-0000-0000-00009C140000}"/>
    <cellStyle name="Normal 4 3 3 4 2 2 2" xfId="24241" xr:uid="{A1454526-F48A-439E-8A59-F4AF194A6800}"/>
    <cellStyle name="Normal 4 3 3 4 2 2 3" xfId="15800" xr:uid="{54B895AE-2910-4817-9C8A-D5BA50E5B033}"/>
    <cellStyle name="Normal 4 3 3 4 2 3" xfId="20023" xr:uid="{EA43AFE5-5C0A-4367-AFD4-90738F37B874}"/>
    <cellStyle name="Normal 4 3 3 4 2 4" xfId="11581" xr:uid="{1DE2E114-EE34-4ACC-9CFA-9AF3F062865A}"/>
    <cellStyle name="Normal 4 3 3 4 3" xfId="5161" xr:uid="{00000000-0005-0000-0000-00009D140000}"/>
    <cellStyle name="Normal 4 3 3 4 3 2" xfId="22096" xr:uid="{060C691B-1CA5-4A34-8B70-3F11077CEFAB}"/>
    <cellStyle name="Normal 4 3 3 4 3 3" xfId="13655" xr:uid="{3CDA4F7E-574F-4CBA-A9C5-64B93B26106C}"/>
    <cellStyle name="Normal 4 3 3 4 4" xfId="17878" xr:uid="{4EC3D7A0-AFAE-48C3-9FAF-F063B2657E0E}"/>
    <cellStyle name="Normal 4 3 3 4 5" xfId="9404" xr:uid="{1ACA95A6-56B4-4EE7-97DD-51CF5319C6D7}"/>
    <cellStyle name="Normal 4 3 3 5" xfId="1267" xr:uid="{00000000-0005-0000-0000-00009E140000}"/>
    <cellStyle name="Normal 4 3 3 5 2" xfId="3497" xr:uid="{00000000-0005-0000-0000-00009F140000}"/>
    <cellStyle name="Normal 4 3 3 5 2 2" xfId="7719" xr:uid="{00000000-0005-0000-0000-0000A0140000}"/>
    <cellStyle name="Normal 4 3 3 5 2 2 2" xfId="24654" xr:uid="{9B3BC8BB-D1D9-4E67-8E8D-4BF2A20BC7FA}"/>
    <cellStyle name="Normal 4 3 3 5 2 2 3" xfId="16213" xr:uid="{DE286236-EAFA-4AEB-88C1-0612DE189524}"/>
    <cellStyle name="Normal 4 3 3 5 2 3" xfId="20436" xr:uid="{165FD23C-B79E-4F80-A5B0-7717053F5600}"/>
    <cellStyle name="Normal 4 3 3 5 2 4" xfId="11994" xr:uid="{395A5355-0ED3-4F45-B27B-4139DFA3B5EB}"/>
    <cellStyle name="Normal 4 3 3 5 3" xfId="5574" xr:uid="{00000000-0005-0000-0000-0000A1140000}"/>
    <cellStyle name="Normal 4 3 3 5 3 2" xfId="22509" xr:uid="{95AC5EDE-452D-4E82-8B1D-B58DDD93A001}"/>
    <cellStyle name="Normal 4 3 3 5 3 3" xfId="14068" xr:uid="{77EC1E1E-F412-42EB-836B-51149D3DE790}"/>
    <cellStyle name="Normal 4 3 3 5 4" xfId="18291" xr:uid="{BA959CF4-7BF7-472D-B5D4-A48EC35FEC0D}"/>
    <cellStyle name="Normal 4 3 3 5 5" xfId="9817" xr:uid="{1474F0D3-3F1D-45E1-A510-DB8DA23F2E85}"/>
    <cellStyle name="Normal 4 3 3 6" xfId="1680" xr:uid="{00000000-0005-0000-0000-0000A2140000}"/>
    <cellStyle name="Normal 4 3 3 6 2" xfId="3910" xr:uid="{00000000-0005-0000-0000-0000A3140000}"/>
    <cellStyle name="Normal 4 3 3 6 2 2" xfId="8132" xr:uid="{00000000-0005-0000-0000-0000A4140000}"/>
    <cellStyle name="Normal 4 3 3 6 2 2 2" xfId="25067" xr:uid="{BECB3517-C86B-4660-8392-D342ABEE6230}"/>
    <cellStyle name="Normal 4 3 3 6 2 2 3" xfId="16626" xr:uid="{DEE6211A-BB8E-4853-AE14-5EFEDF531FDE}"/>
    <cellStyle name="Normal 4 3 3 6 2 3" xfId="20849" xr:uid="{373242E3-C0A7-4D76-8C58-187A09C07681}"/>
    <cellStyle name="Normal 4 3 3 6 2 4" xfId="12407" xr:uid="{76D76880-53CB-433A-95F9-BAA41D13A3C2}"/>
    <cellStyle name="Normal 4 3 3 6 3" xfId="5987" xr:uid="{00000000-0005-0000-0000-0000A5140000}"/>
    <cellStyle name="Normal 4 3 3 6 3 2" xfId="22922" xr:uid="{99D562E1-6656-4503-8E07-2E00197C8D15}"/>
    <cellStyle name="Normal 4 3 3 6 3 3" xfId="14481" xr:uid="{A7AC97F3-2105-4948-8F02-F7D0B86C9804}"/>
    <cellStyle name="Normal 4 3 3 6 4" xfId="18704" xr:uid="{568A51F0-8178-43FF-AC70-E857F4A250B7}"/>
    <cellStyle name="Normal 4 3 3 6 5" xfId="10230" xr:uid="{821A044A-9592-43C8-ABE9-DCC2ABAC93C7}"/>
    <cellStyle name="Normal 4 3 3 7" xfId="2094" xr:uid="{00000000-0005-0000-0000-0000A6140000}"/>
    <cellStyle name="Normal 4 3 3 7 2" xfId="4323" xr:uid="{00000000-0005-0000-0000-0000A7140000}"/>
    <cellStyle name="Normal 4 3 3 7 2 2" xfId="8545" xr:uid="{00000000-0005-0000-0000-0000A8140000}"/>
    <cellStyle name="Normal 4 3 3 7 2 2 2" xfId="25480" xr:uid="{64F4BE09-6AC9-4E80-A774-609E672AB216}"/>
    <cellStyle name="Normal 4 3 3 7 2 2 3" xfId="17039" xr:uid="{19796981-D5C5-45CE-B756-77479C1BBE2C}"/>
    <cellStyle name="Normal 4 3 3 7 2 3" xfId="21262" xr:uid="{2366A1A2-9754-4EEC-B98E-A157B19D03BF}"/>
    <cellStyle name="Normal 4 3 3 7 2 4" xfId="12820" xr:uid="{B2CCF3EF-6146-461F-A8C2-C4A837BE072D}"/>
    <cellStyle name="Normal 4 3 3 7 3" xfId="6400" xr:uid="{00000000-0005-0000-0000-0000A9140000}"/>
    <cellStyle name="Normal 4 3 3 7 3 2" xfId="23335" xr:uid="{2DD43EB3-B6C4-40F9-A661-C870962B645B}"/>
    <cellStyle name="Normal 4 3 3 7 3 3" xfId="14894" xr:uid="{EE32607D-0B82-4C3A-BBD4-4D5E56681BD3}"/>
    <cellStyle name="Normal 4 3 3 7 4" xfId="19117" xr:uid="{1EE94C90-0B86-410D-9B24-D07409347CFF}"/>
    <cellStyle name="Normal 4 3 3 7 5" xfId="10643" xr:uid="{2F969C7B-088E-4D19-8F8F-B7226A7164DF}"/>
    <cellStyle name="Normal 4 3 3 8" xfId="2530" xr:uid="{00000000-0005-0000-0000-0000AA140000}"/>
    <cellStyle name="Normal 4 3 3 8 2" xfId="6813" xr:uid="{00000000-0005-0000-0000-0000AB140000}"/>
    <cellStyle name="Normal 4 3 3 8 2 2" xfId="23748" xr:uid="{42E8E80D-02D4-4555-B498-B0D6A34C58E6}"/>
    <cellStyle name="Normal 4 3 3 8 2 3" xfId="15307" xr:uid="{3D6233F3-8D7C-4A89-A5D4-030CCE96857F}"/>
    <cellStyle name="Normal 4 3 3 8 3" xfId="19530" xr:uid="{3A8E078E-2FC3-4B4F-B80D-834D8A26F3A2}"/>
    <cellStyle name="Normal 4 3 3 8 4" xfId="11078" xr:uid="{6E8321A5-B10E-40DB-B155-25A49C87C2C5}"/>
    <cellStyle name="Normal 4 3 3 9" xfId="4748" xr:uid="{00000000-0005-0000-0000-0000AC140000}"/>
    <cellStyle name="Normal 4 3 3 9 2" xfId="21683" xr:uid="{86982E58-7568-40EA-91C9-9DCA8E79610F}"/>
    <cellStyle name="Normal 4 3 3 9 3" xfId="13242" xr:uid="{666C9167-ECC9-43A8-9DC4-563691F61DB1}"/>
    <cellStyle name="Normal 4 3 4" xfId="842" xr:uid="{00000000-0005-0000-0000-0000AD140000}"/>
    <cellStyle name="Normal 4 3 4 2" xfId="3079" xr:uid="{00000000-0005-0000-0000-0000AE140000}"/>
    <cellStyle name="Normal 4 3 4 2 2" xfId="7301" xr:uid="{00000000-0005-0000-0000-0000AF140000}"/>
    <cellStyle name="Normal 4 3 4 2 2 2" xfId="24236" xr:uid="{182E4E7F-C362-4952-B49F-B1C79CA8B49D}"/>
    <cellStyle name="Normal 4 3 4 2 2 3" xfId="15795" xr:uid="{7010A7D1-00AA-4D30-9316-407E0B528128}"/>
    <cellStyle name="Normal 4 3 4 2 3" xfId="20018" xr:uid="{67864EA5-1946-449E-B0D2-3F5B638D5F4C}"/>
    <cellStyle name="Normal 4 3 4 2 4" xfId="11576" xr:uid="{50A91105-6E07-4768-8F19-079A74CB4243}"/>
    <cellStyle name="Normal 4 3 4 3" xfId="5156" xr:uid="{00000000-0005-0000-0000-0000B0140000}"/>
    <cellStyle name="Normal 4 3 4 3 2" xfId="22091" xr:uid="{BF470834-B911-4678-AA8C-2B57C93FB33C}"/>
    <cellStyle name="Normal 4 3 4 3 3" xfId="13650" xr:uid="{4950E177-2FE0-4F2C-BF78-B42370F36A6E}"/>
    <cellStyle name="Normal 4 3 4 4" xfId="17873" xr:uid="{6F320759-CE8A-44A1-8F95-E9928FF09CDC}"/>
    <cellStyle name="Normal 4 3 4 5" xfId="9399" xr:uid="{19592E62-D76E-4A79-9D76-1C6E12EC7FFF}"/>
    <cellStyle name="Normal 4 3 5" xfId="1262" xr:uid="{00000000-0005-0000-0000-0000B1140000}"/>
    <cellStyle name="Normal 4 3 5 2" xfId="3492" xr:uid="{00000000-0005-0000-0000-0000B2140000}"/>
    <cellStyle name="Normal 4 3 5 2 2" xfId="7714" xr:uid="{00000000-0005-0000-0000-0000B3140000}"/>
    <cellStyle name="Normal 4 3 5 2 2 2" xfId="24649" xr:uid="{107CFD01-CD58-46E9-9550-70CEBE7131B6}"/>
    <cellStyle name="Normal 4 3 5 2 2 3" xfId="16208" xr:uid="{007B7452-8CA4-4580-B963-DEC454BFDB86}"/>
    <cellStyle name="Normal 4 3 5 2 3" xfId="20431" xr:uid="{A0368AD7-3A80-4AD2-865E-F60566982149}"/>
    <cellStyle name="Normal 4 3 5 2 4" xfId="11989" xr:uid="{C8B0FFC3-DFB0-4ADA-A497-24031EB329C7}"/>
    <cellStyle name="Normal 4 3 5 3" xfId="5569" xr:uid="{00000000-0005-0000-0000-0000B4140000}"/>
    <cellStyle name="Normal 4 3 5 3 2" xfId="22504" xr:uid="{256C7214-5ECC-4F60-B0DA-65B41F4C0F30}"/>
    <cellStyle name="Normal 4 3 5 3 3" xfId="14063" xr:uid="{A8D929D5-DFEA-4444-A7D4-EC502085FFDE}"/>
    <cellStyle name="Normal 4 3 5 4" xfId="18286" xr:uid="{A88A4D4F-EE41-40A2-A611-6D884221B4EE}"/>
    <cellStyle name="Normal 4 3 5 5" xfId="9812" xr:uid="{FFE91435-45BB-4AAF-8C00-08D11A5AF14F}"/>
    <cellStyle name="Normal 4 3 6" xfId="1675" xr:uid="{00000000-0005-0000-0000-0000B5140000}"/>
    <cellStyle name="Normal 4 3 6 2" xfId="3905" xr:uid="{00000000-0005-0000-0000-0000B6140000}"/>
    <cellStyle name="Normal 4 3 6 2 2" xfId="8127" xr:uid="{00000000-0005-0000-0000-0000B7140000}"/>
    <cellStyle name="Normal 4 3 6 2 2 2" xfId="25062" xr:uid="{B0EC5DF0-1986-4F46-A64A-6280749CEEE7}"/>
    <cellStyle name="Normal 4 3 6 2 2 3" xfId="16621" xr:uid="{74ED4105-19C6-4785-A179-92B2052EF46B}"/>
    <cellStyle name="Normal 4 3 6 2 3" xfId="20844" xr:uid="{774162C4-B87A-4A4C-B492-EFFBBD86D60B}"/>
    <cellStyle name="Normal 4 3 6 2 4" xfId="12402" xr:uid="{E53FB251-D103-4512-92A5-FDD88068B3C3}"/>
    <cellStyle name="Normal 4 3 6 3" xfId="5982" xr:uid="{00000000-0005-0000-0000-0000B8140000}"/>
    <cellStyle name="Normal 4 3 6 3 2" xfId="22917" xr:uid="{D75527B7-0F9E-49B1-ABA8-750FDCCE84F8}"/>
    <cellStyle name="Normal 4 3 6 3 3" xfId="14476" xr:uid="{691CAB54-5268-4D03-BFD2-07E84F444374}"/>
    <cellStyle name="Normal 4 3 6 4" xfId="18699" xr:uid="{7C85066C-F8A6-4848-933D-E71C23B82B89}"/>
    <cellStyle name="Normal 4 3 6 5" xfId="10225" xr:uid="{A0B96804-35EE-4D85-BF33-528A43B3CD9C}"/>
    <cellStyle name="Normal 4 3 7" xfId="2089" xr:uid="{00000000-0005-0000-0000-0000B9140000}"/>
    <cellStyle name="Normal 4 3 7 2" xfId="4318" xr:uid="{00000000-0005-0000-0000-0000BA140000}"/>
    <cellStyle name="Normal 4 3 7 2 2" xfId="8540" xr:uid="{00000000-0005-0000-0000-0000BB140000}"/>
    <cellStyle name="Normal 4 3 7 2 2 2" xfId="25475" xr:uid="{2960F89E-FD12-42DD-AE03-3F3A70225A5A}"/>
    <cellStyle name="Normal 4 3 7 2 2 3" xfId="17034" xr:uid="{F21A15DF-B542-4E0B-B3E9-3A505A189A46}"/>
    <cellStyle name="Normal 4 3 7 2 3" xfId="21257" xr:uid="{B701C35C-76BE-43CA-945D-7293FD2B0523}"/>
    <cellStyle name="Normal 4 3 7 2 4" xfId="12815" xr:uid="{FE03C184-5C79-4FB7-A653-1BD523B84460}"/>
    <cellStyle name="Normal 4 3 7 3" xfId="6395" xr:uid="{00000000-0005-0000-0000-0000BC140000}"/>
    <cellStyle name="Normal 4 3 7 3 2" xfId="23330" xr:uid="{A9CD9F06-47D1-4A31-888E-05F5BDC8B6EB}"/>
    <cellStyle name="Normal 4 3 7 3 3" xfId="14889" xr:uid="{D172146B-8805-4FA7-B38C-4F52AD98E91E}"/>
    <cellStyle name="Normal 4 3 7 4" xfId="19112" xr:uid="{C38CB259-6A15-4BBE-850F-E027917A53A0}"/>
    <cellStyle name="Normal 4 3 7 5" xfId="10638" xr:uid="{D3965C8D-BF8C-4464-808E-7C616EDE9975}"/>
    <cellStyle name="Normal 4 3 8" xfId="2525" xr:uid="{00000000-0005-0000-0000-0000BD140000}"/>
    <cellStyle name="Normal 4 3 8 2" xfId="6808" xr:uid="{00000000-0005-0000-0000-0000BE140000}"/>
    <cellStyle name="Normal 4 3 8 2 2" xfId="23743" xr:uid="{B9DF32BE-6C7C-4AC1-B3E6-16867449F203}"/>
    <cellStyle name="Normal 4 3 8 2 3" xfId="15302" xr:uid="{B87C81FE-AE05-444B-843C-DBC1FDD800EE}"/>
    <cellStyle name="Normal 4 3 8 3" xfId="19525" xr:uid="{1721AE2D-EFC6-472E-8801-E5617E727356}"/>
    <cellStyle name="Normal 4 3 8 4" xfId="11073" xr:uid="{64D081AB-B6B6-412B-BE5A-B9971440EAC1}"/>
    <cellStyle name="Normal 4 3 9" xfId="4743" xr:uid="{00000000-0005-0000-0000-0000BF140000}"/>
    <cellStyle name="Normal 4 3 9 2" xfId="21678" xr:uid="{F75D7079-1DA6-4987-87FD-F976CC9ED591}"/>
    <cellStyle name="Normal 4 3 9 3" xfId="13237" xr:uid="{0645ACE0-6AE8-4E59-8E5F-F10EE5AE6452}"/>
    <cellStyle name="Normal 4 4" xfId="378" xr:uid="{00000000-0005-0000-0000-0000C0140000}"/>
    <cellStyle name="Normal 4 4 10" xfId="2534" xr:uid="{00000000-0005-0000-0000-0000C1140000}"/>
    <cellStyle name="Normal 4 4 10 2" xfId="6817" xr:uid="{00000000-0005-0000-0000-0000C2140000}"/>
    <cellStyle name="Normal 4 4 10 2 2" xfId="23752" xr:uid="{864E7E4D-20BD-4780-9EA8-CA38CB5850E4}"/>
    <cellStyle name="Normal 4 4 10 2 3" xfId="15311" xr:uid="{24AA1F05-7ECF-4965-B6AA-B76201DCF3DD}"/>
    <cellStyle name="Normal 4 4 10 3" xfId="19534" xr:uid="{262924A5-07D7-4540-BE12-7D7FFA6D7347}"/>
    <cellStyle name="Normal 4 4 10 4" xfId="11082" xr:uid="{D7C57A79-9906-4F75-8A83-CEE71A19C67F}"/>
    <cellStyle name="Normal 4 4 11" xfId="4752" xr:uid="{00000000-0005-0000-0000-0000C3140000}"/>
    <cellStyle name="Normal 4 4 11 2" xfId="21687" xr:uid="{DA833EB7-0DA9-4B4A-BE6F-49D6A234D04A}"/>
    <cellStyle name="Normal 4 4 11 3" xfId="13246" xr:uid="{3002F5A0-21C3-4AED-9B84-237D6056A115}"/>
    <cellStyle name="Normal 4 4 12" xfId="17469" xr:uid="{A08D577A-F82E-4413-BBAD-6D2E8E0854D1}"/>
    <cellStyle name="Normal 4 4 13" xfId="8994" xr:uid="{BC20573B-CA6F-4903-AB6A-7CBE815D3D14}"/>
    <cellStyle name="Normal 4 4 2" xfId="379" xr:uid="{00000000-0005-0000-0000-0000C4140000}"/>
    <cellStyle name="Normal 4 4 2 10" xfId="4753" xr:uid="{00000000-0005-0000-0000-0000C5140000}"/>
    <cellStyle name="Normal 4 4 2 10 2" xfId="21688" xr:uid="{21CF0E50-D1A3-4100-BF0C-B442502D05A5}"/>
    <cellStyle name="Normal 4 4 2 10 3" xfId="13247" xr:uid="{DDDADDBB-4336-4036-AD2F-9C79BCCE6955}"/>
    <cellStyle name="Normal 4 4 2 11" xfId="17470" xr:uid="{02FC8AFB-1067-474D-965C-02452C2628AB}"/>
    <cellStyle name="Normal 4 4 2 12" xfId="8995" xr:uid="{9DD08B92-5CC9-4B4C-9478-0F88617FB0C3}"/>
    <cellStyle name="Normal 4 4 2 2" xfId="380" xr:uid="{00000000-0005-0000-0000-0000C6140000}"/>
    <cellStyle name="Normal 4 4 2 2 10" xfId="17471" xr:uid="{A5A00CE6-1B37-4157-A360-358103DB0C5A}"/>
    <cellStyle name="Normal 4 4 2 2 11" xfId="8996" xr:uid="{CA9874CF-80EB-4265-812E-64351EB0569D}"/>
    <cellStyle name="Normal 4 4 2 2 2" xfId="381" xr:uid="{00000000-0005-0000-0000-0000C7140000}"/>
    <cellStyle name="Normal 4 4 2 2 2 10" xfId="8997" xr:uid="{E330A7A1-9DA7-48B4-9A7D-E67A54E2B7D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4249" xr:uid="{85CFB4D3-A9FB-4D67-9B58-3154FA5C8FD3}"/>
    <cellStyle name="Normal 4 4 2 2 2 2 2 2 2 3" xfId="15808" xr:uid="{9D535399-D72E-46D7-B716-ED3E20B298D0}"/>
    <cellStyle name="Normal 4 4 2 2 2 2 2 2 3" xfId="20031" xr:uid="{BF9A2367-16B8-4799-BB46-0A93BF0589E7}"/>
    <cellStyle name="Normal 4 4 2 2 2 2 2 2 4" xfId="11589" xr:uid="{165837CB-03C6-4C17-9B57-6280D65F11F5}"/>
    <cellStyle name="Normal 4 4 2 2 2 2 2 3" xfId="5169" xr:uid="{00000000-0005-0000-0000-0000CC140000}"/>
    <cellStyle name="Normal 4 4 2 2 2 2 2 3 2" xfId="22104" xr:uid="{FE52EA9C-34A5-435B-8314-50AC16E9CC64}"/>
    <cellStyle name="Normal 4 4 2 2 2 2 2 3 3" xfId="13663" xr:uid="{94C41E8B-EED7-4154-B066-CB02634C0EF2}"/>
    <cellStyle name="Normal 4 4 2 2 2 2 2 4" xfId="17886" xr:uid="{46E4EDC1-6D38-4FE4-8110-C7600571317D}"/>
    <cellStyle name="Normal 4 4 2 2 2 2 2 5" xfId="9412" xr:uid="{FC864516-6DBF-4BCC-BD96-1E1BF3327CD3}"/>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4662" xr:uid="{5D67971B-DC53-4885-BF34-86A8BBAD8EB7}"/>
    <cellStyle name="Normal 4 4 2 2 2 2 3 2 2 3" xfId="16221" xr:uid="{480CD997-AAD4-488E-B71A-89353CDF9A92}"/>
    <cellStyle name="Normal 4 4 2 2 2 2 3 2 3" xfId="20444" xr:uid="{DAD616D7-06AE-4793-A61D-641F08359496}"/>
    <cellStyle name="Normal 4 4 2 2 2 2 3 2 4" xfId="12002" xr:uid="{B5CA910A-61F0-46FE-AC2C-5349643C0B80}"/>
    <cellStyle name="Normal 4 4 2 2 2 2 3 3" xfId="5582" xr:uid="{00000000-0005-0000-0000-0000D0140000}"/>
    <cellStyle name="Normal 4 4 2 2 2 2 3 3 2" xfId="22517" xr:uid="{B820B7C7-F722-4518-95EE-A9B8BD0EA339}"/>
    <cellStyle name="Normal 4 4 2 2 2 2 3 3 3" xfId="14076" xr:uid="{D6025599-80D1-41D8-9EA2-52CA7D3A2146}"/>
    <cellStyle name="Normal 4 4 2 2 2 2 3 4" xfId="18299" xr:uid="{6EC5EC3E-7DB3-4112-8C2F-7598FA547AFB}"/>
    <cellStyle name="Normal 4 4 2 2 2 2 3 5" xfId="9825" xr:uid="{0B52D135-ABAF-4353-9169-862ADA65B1FB}"/>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075" xr:uid="{4E5AA4C7-2FB7-486B-B157-464E64B4DF26}"/>
    <cellStyle name="Normal 4 4 2 2 2 2 4 2 2 3" xfId="16634" xr:uid="{9FFC5078-AE0D-4421-8D34-7544E20C4B29}"/>
    <cellStyle name="Normal 4 4 2 2 2 2 4 2 3" xfId="20857" xr:uid="{0B8CDD25-7D58-41D5-8294-B457CD494DA3}"/>
    <cellStyle name="Normal 4 4 2 2 2 2 4 2 4" xfId="12415" xr:uid="{409DCADC-73FD-4A27-A141-6513E09DD650}"/>
    <cellStyle name="Normal 4 4 2 2 2 2 4 3" xfId="5995" xr:uid="{00000000-0005-0000-0000-0000D4140000}"/>
    <cellStyle name="Normal 4 4 2 2 2 2 4 3 2" xfId="22930" xr:uid="{CE001900-3149-4176-BAB2-3A13C5BC04EE}"/>
    <cellStyle name="Normal 4 4 2 2 2 2 4 3 3" xfId="14489" xr:uid="{A337B78A-B1B4-42DF-B910-D01B38F253EC}"/>
    <cellStyle name="Normal 4 4 2 2 2 2 4 4" xfId="18712" xr:uid="{656FEEAA-8BF9-495E-B40A-14F62A2FBFFB}"/>
    <cellStyle name="Normal 4 4 2 2 2 2 4 5" xfId="10238" xr:uid="{C60D772B-5450-4D95-A45F-5EEFE0C7F12B}"/>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5488" xr:uid="{2E7B7F46-4936-4726-BA49-D78AFD61EBD7}"/>
    <cellStyle name="Normal 4 4 2 2 2 2 5 2 2 3" xfId="17047" xr:uid="{2C33254B-2E44-4E8E-93EB-0F349B5AF48B}"/>
    <cellStyle name="Normal 4 4 2 2 2 2 5 2 3" xfId="21270" xr:uid="{29CFC139-0126-4D32-B705-D35E93C78565}"/>
    <cellStyle name="Normal 4 4 2 2 2 2 5 2 4" xfId="12828" xr:uid="{872CA982-957F-40A3-8805-ADA281879F52}"/>
    <cellStyle name="Normal 4 4 2 2 2 2 5 3" xfId="6408" xr:uid="{00000000-0005-0000-0000-0000D8140000}"/>
    <cellStyle name="Normal 4 4 2 2 2 2 5 3 2" xfId="23343" xr:uid="{A97C89AE-D60D-4C6A-8D11-07E5B10AFB24}"/>
    <cellStyle name="Normal 4 4 2 2 2 2 5 3 3" xfId="14902" xr:uid="{44D1805A-C26D-46FB-8DAB-E98825543776}"/>
    <cellStyle name="Normal 4 4 2 2 2 2 5 4" xfId="19125" xr:uid="{96EF3B4D-0696-494F-B83F-FD06F3320122}"/>
    <cellStyle name="Normal 4 4 2 2 2 2 5 5" xfId="10651" xr:uid="{F1AAF5F5-A25E-4894-8248-1C62F44027F2}"/>
    <cellStyle name="Normal 4 4 2 2 2 2 6" xfId="2538" xr:uid="{00000000-0005-0000-0000-0000D9140000}"/>
    <cellStyle name="Normal 4 4 2 2 2 2 6 2" xfId="6821" xr:uid="{00000000-0005-0000-0000-0000DA140000}"/>
    <cellStyle name="Normal 4 4 2 2 2 2 6 2 2" xfId="23756" xr:uid="{DDECB439-D13A-4C48-9821-C23A476C9076}"/>
    <cellStyle name="Normal 4 4 2 2 2 2 6 2 3" xfId="15315" xr:uid="{8B9A93EA-D438-4263-9684-D158D2E8F679}"/>
    <cellStyle name="Normal 4 4 2 2 2 2 6 3" xfId="19538" xr:uid="{BD416A4C-8910-4646-BEBC-D588D883FCFD}"/>
    <cellStyle name="Normal 4 4 2 2 2 2 6 4" xfId="11086" xr:uid="{890983D1-F34C-4FD0-9D94-EE10EFF19D35}"/>
    <cellStyle name="Normal 4 4 2 2 2 2 7" xfId="4756" xr:uid="{00000000-0005-0000-0000-0000DB140000}"/>
    <cellStyle name="Normal 4 4 2 2 2 2 7 2" xfId="21691" xr:uid="{BE92AE17-EC21-4829-85E2-9B65CE426EB3}"/>
    <cellStyle name="Normal 4 4 2 2 2 2 7 3" xfId="13250" xr:uid="{6411F0FC-0EE9-4105-ADD3-07E6236BDFC2}"/>
    <cellStyle name="Normal 4 4 2 2 2 2 8" xfId="17473" xr:uid="{C4A650C2-AF75-49D1-AA88-15348B495ACB}"/>
    <cellStyle name="Normal 4 4 2 2 2 2 9" xfId="8998" xr:uid="{6044C67F-AB1D-4A9E-9E58-310A626E7531}"/>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4248" xr:uid="{857500BB-542F-4AE8-B44D-BFDB87D4E703}"/>
    <cellStyle name="Normal 4 4 2 2 2 3 2 2 3" xfId="15807" xr:uid="{9B9B2E8E-F6EB-4D9C-AC93-915C01936791}"/>
    <cellStyle name="Normal 4 4 2 2 2 3 2 3" xfId="20030" xr:uid="{72D03B58-B841-4A1F-A598-77FB14448D69}"/>
    <cellStyle name="Normal 4 4 2 2 2 3 2 4" xfId="11588" xr:uid="{96048F3F-8341-43E3-BF1A-131D4FAB9608}"/>
    <cellStyle name="Normal 4 4 2 2 2 3 3" xfId="5168" xr:uid="{00000000-0005-0000-0000-0000DF140000}"/>
    <cellStyle name="Normal 4 4 2 2 2 3 3 2" xfId="22103" xr:uid="{F523CDC0-4EC3-410A-8823-5F1EEE610166}"/>
    <cellStyle name="Normal 4 4 2 2 2 3 3 3" xfId="13662" xr:uid="{4D9AE465-860F-421B-8C6B-F1961C1E6FA8}"/>
    <cellStyle name="Normal 4 4 2 2 2 3 4" xfId="17885" xr:uid="{73E7A336-D7EB-44F9-B562-99F46FE111AE}"/>
    <cellStyle name="Normal 4 4 2 2 2 3 5" xfId="9411" xr:uid="{2AE42704-9F05-4E05-9171-B40882A456FC}"/>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4661" xr:uid="{95619C72-9B83-4965-B804-BE7BB15D47D5}"/>
    <cellStyle name="Normal 4 4 2 2 2 4 2 2 3" xfId="16220" xr:uid="{73A5E9B3-FEA7-4B5F-A2E9-8AD01761C930}"/>
    <cellStyle name="Normal 4 4 2 2 2 4 2 3" xfId="20443" xr:uid="{0399FEC7-D701-4BAD-AD70-FE885A890C7B}"/>
    <cellStyle name="Normal 4 4 2 2 2 4 2 4" xfId="12001" xr:uid="{ABEA70A8-90C2-4112-B2F7-509612810544}"/>
    <cellStyle name="Normal 4 4 2 2 2 4 3" xfId="5581" xr:uid="{00000000-0005-0000-0000-0000E3140000}"/>
    <cellStyle name="Normal 4 4 2 2 2 4 3 2" xfId="22516" xr:uid="{251D9840-C52C-4C99-A891-9C476858BC6E}"/>
    <cellStyle name="Normal 4 4 2 2 2 4 3 3" xfId="14075" xr:uid="{607D7702-FF2A-4C6A-88AA-0AF702C18649}"/>
    <cellStyle name="Normal 4 4 2 2 2 4 4" xfId="18298" xr:uid="{0579B75E-24E4-412A-8401-F1723E6F08C6}"/>
    <cellStyle name="Normal 4 4 2 2 2 4 5" xfId="9824" xr:uid="{B472573E-79B6-4C3B-8A89-C46D345EFDF2}"/>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074" xr:uid="{5F9A48C3-C15F-40E6-946A-0D03DD4BDCE1}"/>
    <cellStyle name="Normal 4 4 2 2 2 5 2 2 3" xfId="16633" xr:uid="{4D341322-F17C-4F1E-B211-682C622C460E}"/>
    <cellStyle name="Normal 4 4 2 2 2 5 2 3" xfId="20856" xr:uid="{7A3DD65C-C4A7-4818-A9B4-68D69F4C2EE0}"/>
    <cellStyle name="Normal 4 4 2 2 2 5 2 4" xfId="12414" xr:uid="{ECAC2442-1513-45F0-982D-F931EA0E47E0}"/>
    <cellStyle name="Normal 4 4 2 2 2 5 3" xfId="5994" xr:uid="{00000000-0005-0000-0000-0000E7140000}"/>
    <cellStyle name="Normal 4 4 2 2 2 5 3 2" xfId="22929" xr:uid="{DF36EF70-B568-45F0-A88C-F281F0F2BE88}"/>
    <cellStyle name="Normal 4 4 2 2 2 5 3 3" xfId="14488" xr:uid="{19BB0370-EE56-4897-B974-A5D90120B93A}"/>
    <cellStyle name="Normal 4 4 2 2 2 5 4" xfId="18711" xr:uid="{9CC0AA12-9634-4E32-876C-FDA300DAF0A4}"/>
    <cellStyle name="Normal 4 4 2 2 2 5 5" xfId="10237" xr:uid="{807DCCFA-7EFF-4CA7-8ABA-6C7DCA1C6ACE}"/>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5487" xr:uid="{28508A84-075F-4898-8EC6-5FAE05E1AF63}"/>
    <cellStyle name="Normal 4 4 2 2 2 6 2 2 3" xfId="17046" xr:uid="{B8F9C5BD-35B8-4320-AFA8-C147BB316CCD}"/>
    <cellStyle name="Normal 4 4 2 2 2 6 2 3" xfId="21269" xr:uid="{629D7D17-6274-4849-9ACE-14E6A8ED423F}"/>
    <cellStyle name="Normal 4 4 2 2 2 6 2 4" xfId="12827" xr:uid="{96390872-41FE-47B0-8907-5EE117F9B4D6}"/>
    <cellStyle name="Normal 4 4 2 2 2 6 3" xfId="6407" xr:uid="{00000000-0005-0000-0000-0000EB140000}"/>
    <cellStyle name="Normal 4 4 2 2 2 6 3 2" xfId="23342" xr:uid="{C508736B-A8D9-4001-B577-EF9D2FE6BF9D}"/>
    <cellStyle name="Normal 4 4 2 2 2 6 3 3" xfId="14901" xr:uid="{BDF05915-40E2-4CF6-A099-C9F2DD9AFE90}"/>
    <cellStyle name="Normal 4 4 2 2 2 6 4" xfId="19124" xr:uid="{5CAB7E23-DB18-4B6F-A930-F74230AA6D5A}"/>
    <cellStyle name="Normal 4 4 2 2 2 6 5" xfId="10650" xr:uid="{F8441B22-D52F-4308-9F08-91584D28BD53}"/>
    <cellStyle name="Normal 4 4 2 2 2 7" xfId="2537" xr:uid="{00000000-0005-0000-0000-0000EC140000}"/>
    <cellStyle name="Normal 4 4 2 2 2 7 2" xfId="6820" xr:uid="{00000000-0005-0000-0000-0000ED140000}"/>
    <cellStyle name="Normal 4 4 2 2 2 7 2 2" xfId="23755" xr:uid="{24B86711-080E-4E5B-B6C4-7B3AE9149502}"/>
    <cellStyle name="Normal 4 4 2 2 2 7 2 3" xfId="15314" xr:uid="{5E3D3E22-E4A3-40C1-9717-338E2F9730EB}"/>
    <cellStyle name="Normal 4 4 2 2 2 7 3" xfId="19537" xr:uid="{D5A077B4-BB1D-4C05-9008-A870B085C117}"/>
    <cellStyle name="Normal 4 4 2 2 2 7 4" xfId="11085" xr:uid="{6DBE1569-0524-407F-A220-997C5F899604}"/>
    <cellStyle name="Normal 4 4 2 2 2 8" xfId="4755" xr:uid="{00000000-0005-0000-0000-0000EE140000}"/>
    <cellStyle name="Normal 4 4 2 2 2 8 2" xfId="21690" xr:uid="{2B1FA7FA-3452-4E51-9F81-968035FC09B2}"/>
    <cellStyle name="Normal 4 4 2 2 2 8 3" xfId="13249" xr:uid="{DDC08C9E-2977-4AD0-A874-0F01DDA21E19}"/>
    <cellStyle name="Normal 4 4 2 2 2 9" xfId="17472" xr:uid="{C408AFD1-335C-4ECB-8AE1-F442DEDA5E27}"/>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4250" xr:uid="{978C2C3B-1D5D-43B8-AC8D-F1321BC2E081}"/>
    <cellStyle name="Normal 4 4 2 2 3 2 2 2 3" xfId="15809" xr:uid="{B5A4D7D3-13B8-46CB-9A6A-59CF02340F24}"/>
    <cellStyle name="Normal 4 4 2 2 3 2 2 3" xfId="20032" xr:uid="{1302844E-0AD0-48FA-BB23-CE078E158638}"/>
    <cellStyle name="Normal 4 4 2 2 3 2 2 4" xfId="11590" xr:uid="{C6549198-3EAD-437E-97B2-3411D321A67B}"/>
    <cellStyle name="Normal 4 4 2 2 3 2 3" xfId="5170" xr:uid="{00000000-0005-0000-0000-0000F3140000}"/>
    <cellStyle name="Normal 4 4 2 2 3 2 3 2" xfId="22105" xr:uid="{C5342114-0291-42F3-91A2-A34D688A2088}"/>
    <cellStyle name="Normal 4 4 2 2 3 2 3 3" xfId="13664" xr:uid="{490FFE83-C9BD-4FC0-AF46-8327DA9248F8}"/>
    <cellStyle name="Normal 4 4 2 2 3 2 4" xfId="17887" xr:uid="{125C5936-7D8D-4BC4-A1C7-28EEFBA193A7}"/>
    <cellStyle name="Normal 4 4 2 2 3 2 5" xfId="9413" xr:uid="{6EF44FD8-9D80-4E89-BADD-014C8595E538}"/>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4663" xr:uid="{44BC9E02-D140-443D-B718-EADBFEC7A682}"/>
    <cellStyle name="Normal 4 4 2 2 3 3 2 2 3" xfId="16222" xr:uid="{349A225B-4FA9-4AD6-BC2D-01E4F4E4B33A}"/>
    <cellStyle name="Normal 4 4 2 2 3 3 2 3" xfId="20445" xr:uid="{31B9270C-80E8-42C8-8D64-57861BDF623C}"/>
    <cellStyle name="Normal 4 4 2 2 3 3 2 4" xfId="12003" xr:uid="{F57E0BD3-A130-4B82-97AB-869CA5DD7D89}"/>
    <cellStyle name="Normal 4 4 2 2 3 3 3" xfId="5583" xr:uid="{00000000-0005-0000-0000-0000F7140000}"/>
    <cellStyle name="Normal 4 4 2 2 3 3 3 2" xfId="22518" xr:uid="{A2E10DC5-13C5-4E8F-AA74-ECD3FB0C1CCF}"/>
    <cellStyle name="Normal 4 4 2 2 3 3 3 3" xfId="14077" xr:uid="{5A88AB11-35F0-4FD6-85BB-FFFBEE432678}"/>
    <cellStyle name="Normal 4 4 2 2 3 3 4" xfId="18300" xr:uid="{D65B0D31-DECF-40F7-A79E-CADF3F6FD43F}"/>
    <cellStyle name="Normal 4 4 2 2 3 3 5" xfId="9826" xr:uid="{FDFC67F5-F948-4603-B7BA-DCC70E9FB277}"/>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076" xr:uid="{4D1B00FB-A281-4BB0-8807-A3E83B458737}"/>
    <cellStyle name="Normal 4 4 2 2 3 4 2 2 3" xfId="16635" xr:uid="{FF1C58CB-6405-4A03-8477-8F66F58BC039}"/>
    <cellStyle name="Normal 4 4 2 2 3 4 2 3" xfId="20858" xr:uid="{B31D27C0-A300-4A16-A46B-E1DDE8F3A439}"/>
    <cellStyle name="Normal 4 4 2 2 3 4 2 4" xfId="12416" xr:uid="{ED4F028B-11C3-4B7A-96A5-CF5F49A2DB90}"/>
    <cellStyle name="Normal 4 4 2 2 3 4 3" xfId="5996" xr:uid="{00000000-0005-0000-0000-0000FB140000}"/>
    <cellStyle name="Normal 4 4 2 2 3 4 3 2" xfId="22931" xr:uid="{BD1DDC7A-5DA3-466B-A156-05017C5E261A}"/>
    <cellStyle name="Normal 4 4 2 2 3 4 3 3" xfId="14490" xr:uid="{8D32C089-A385-4C52-B175-E78D64E9420C}"/>
    <cellStyle name="Normal 4 4 2 2 3 4 4" xfId="18713" xr:uid="{CD3A0CD5-83A3-4D56-A334-420BFC009B2C}"/>
    <cellStyle name="Normal 4 4 2 2 3 4 5" xfId="10239" xr:uid="{FCBB1048-A408-4819-8172-42ED0993A95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5489" xr:uid="{9245A797-03F8-4D63-A399-342662F9B7E1}"/>
    <cellStyle name="Normal 4 4 2 2 3 5 2 2 3" xfId="17048" xr:uid="{CB271548-B6A8-48B8-940A-B0FC0308FB2C}"/>
    <cellStyle name="Normal 4 4 2 2 3 5 2 3" xfId="21271" xr:uid="{CBF88CF3-DA87-4817-9252-ABB9865F6B4E}"/>
    <cellStyle name="Normal 4 4 2 2 3 5 2 4" xfId="12829" xr:uid="{0741FE41-7B58-4AF3-88D5-D95651E2BA52}"/>
    <cellStyle name="Normal 4 4 2 2 3 5 3" xfId="6409" xr:uid="{00000000-0005-0000-0000-0000FF140000}"/>
    <cellStyle name="Normal 4 4 2 2 3 5 3 2" xfId="23344" xr:uid="{530091A9-AEE3-44DC-9D2F-0FA324758DB0}"/>
    <cellStyle name="Normal 4 4 2 2 3 5 3 3" xfId="14903" xr:uid="{83FD5C5F-809B-415D-9705-C7D6154BBF0E}"/>
    <cellStyle name="Normal 4 4 2 2 3 5 4" xfId="19126" xr:uid="{F4F6EC55-7116-4BEE-A91B-1809AF2456F4}"/>
    <cellStyle name="Normal 4 4 2 2 3 5 5" xfId="10652" xr:uid="{EF81ADFF-01C4-41E1-9D8B-E68A373F9150}"/>
    <cellStyle name="Normal 4 4 2 2 3 6" xfId="2539" xr:uid="{00000000-0005-0000-0000-000000150000}"/>
    <cellStyle name="Normal 4 4 2 2 3 6 2" xfId="6822" xr:uid="{00000000-0005-0000-0000-000001150000}"/>
    <cellStyle name="Normal 4 4 2 2 3 6 2 2" xfId="23757" xr:uid="{435C8C74-8BC9-4F0B-96D7-17A3F4D5E3CC}"/>
    <cellStyle name="Normal 4 4 2 2 3 6 2 3" xfId="15316" xr:uid="{5A124B36-A258-477A-B074-D53F2F9DF340}"/>
    <cellStyle name="Normal 4 4 2 2 3 6 3" xfId="19539" xr:uid="{AF3D56D2-751C-4CCB-8A87-57AD1B40F1A3}"/>
    <cellStyle name="Normal 4 4 2 2 3 6 4" xfId="11087" xr:uid="{C9F05B89-A425-4DFF-8AEF-8C8EE5C7AF8D}"/>
    <cellStyle name="Normal 4 4 2 2 3 7" xfId="4757" xr:uid="{00000000-0005-0000-0000-000002150000}"/>
    <cellStyle name="Normal 4 4 2 2 3 7 2" xfId="21692" xr:uid="{8E523B45-1761-496B-823F-B0BBD63AB8BE}"/>
    <cellStyle name="Normal 4 4 2 2 3 7 3" xfId="13251" xr:uid="{B839146A-51AB-4D34-9D97-16D67C1815C1}"/>
    <cellStyle name="Normal 4 4 2 2 3 8" xfId="17474" xr:uid="{E5139614-DF65-4CD9-9D39-C2FD95BE9DF7}"/>
    <cellStyle name="Normal 4 4 2 2 3 9" xfId="8999" xr:uid="{4C1BA65A-B3C8-4EEF-8266-4737656C6822}"/>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4247" xr:uid="{0FF6CEC4-AE3A-4FB0-A1DA-927337BC2BD1}"/>
    <cellStyle name="Normal 4 4 2 2 4 2 2 3" xfId="15806" xr:uid="{E62B7C27-FC65-46EF-B6DF-A605F764786A}"/>
    <cellStyle name="Normal 4 4 2 2 4 2 3" xfId="20029" xr:uid="{B9F292E4-BB80-4C65-862C-239F4AF67B11}"/>
    <cellStyle name="Normal 4 4 2 2 4 2 4" xfId="11587" xr:uid="{DF41B8F1-DC33-43F2-97C5-9F388B445C0E}"/>
    <cellStyle name="Normal 4 4 2 2 4 3" xfId="5167" xr:uid="{00000000-0005-0000-0000-000006150000}"/>
    <cellStyle name="Normal 4 4 2 2 4 3 2" xfId="22102" xr:uid="{4FD43B55-77BB-4EC1-9067-9447E77B5FA0}"/>
    <cellStyle name="Normal 4 4 2 2 4 3 3" xfId="13661" xr:uid="{C0940A38-9BD1-443D-912B-B7F661CA896A}"/>
    <cellStyle name="Normal 4 4 2 2 4 4" xfId="17884" xr:uid="{3A89801F-CCD6-49DC-A795-871421101F60}"/>
    <cellStyle name="Normal 4 4 2 2 4 5" xfId="9410" xr:uid="{0EEDD50B-2571-4958-9199-4D90B8200520}"/>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4660" xr:uid="{A165AB2C-516A-47FF-8315-F05CC241CACD}"/>
    <cellStyle name="Normal 4 4 2 2 5 2 2 3" xfId="16219" xr:uid="{78684BD2-B0DF-4142-9854-4CB4F7399BDE}"/>
    <cellStyle name="Normal 4 4 2 2 5 2 3" xfId="20442" xr:uid="{1D515245-63FA-4D1A-8D93-417DF0184187}"/>
    <cellStyle name="Normal 4 4 2 2 5 2 4" xfId="12000" xr:uid="{E560F0F2-A144-4DA0-8B8F-01A6C004B6E0}"/>
    <cellStyle name="Normal 4 4 2 2 5 3" xfId="5580" xr:uid="{00000000-0005-0000-0000-00000A150000}"/>
    <cellStyle name="Normal 4 4 2 2 5 3 2" xfId="22515" xr:uid="{C6F484B8-43C2-4964-B2D1-97F50709C01D}"/>
    <cellStyle name="Normal 4 4 2 2 5 3 3" xfId="14074" xr:uid="{DC2A025C-BF7D-4912-8966-19FC2E53F435}"/>
    <cellStyle name="Normal 4 4 2 2 5 4" xfId="18297" xr:uid="{1EE641BA-CCF1-483F-81CF-4BC9CED468BE}"/>
    <cellStyle name="Normal 4 4 2 2 5 5" xfId="9823" xr:uid="{4B2A331F-CEBD-4D42-868D-69F12559C553}"/>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073" xr:uid="{BE8E20C0-9C14-45EE-98CA-401E730B42D5}"/>
    <cellStyle name="Normal 4 4 2 2 6 2 2 3" xfId="16632" xr:uid="{ECE46FD8-C1EC-4C08-99DD-EBED443750AF}"/>
    <cellStyle name="Normal 4 4 2 2 6 2 3" xfId="20855" xr:uid="{7D805E16-91F3-419E-8B59-1002D4E82F75}"/>
    <cellStyle name="Normal 4 4 2 2 6 2 4" xfId="12413" xr:uid="{F523F829-FF3C-4D3C-B23C-910CC3B501EE}"/>
    <cellStyle name="Normal 4 4 2 2 6 3" xfId="5993" xr:uid="{00000000-0005-0000-0000-00000E150000}"/>
    <cellStyle name="Normal 4 4 2 2 6 3 2" xfId="22928" xr:uid="{150F2CD3-AD0C-4A79-8B70-40879BCA67D0}"/>
    <cellStyle name="Normal 4 4 2 2 6 3 3" xfId="14487" xr:uid="{78E3928C-9A05-44D7-8281-0DAA67541FE1}"/>
    <cellStyle name="Normal 4 4 2 2 6 4" xfId="18710" xr:uid="{B2D3C9F1-A47F-49F4-A55E-7BD85A4B6F62}"/>
    <cellStyle name="Normal 4 4 2 2 6 5" xfId="10236" xr:uid="{E0A9264C-A2BE-4F65-BDA3-684A62985FF0}"/>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5486" xr:uid="{76D41D3D-8536-491B-8CF5-41805AB0646B}"/>
    <cellStyle name="Normal 4 4 2 2 7 2 2 3" xfId="17045" xr:uid="{C29C945E-C160-4813-9A4C-7DE64E95F9C1}"/>
    <cellStyle name="Normal 4 4 2 2 7 2 3" xfId="21268" xr:uid="{278E5635-3F03-4A0F-B2A0-66E783113216}"/>
    <cellStyle name="Normal 4 4 2 2 7 2 4" xfId="12826" xr:uid="{E94DF53A-5C10-4517-8FEA-05C8A1C5A652}"/>
    <cellStyle name="Normal 4 4 2 2 7 3" xfId="6406" xr:uid="{00000000-0005-0000-0000-000012150000}"/>
    <cellStyle name="Normal 4 4 2 2 7 3 2" xfId="23341" xr:uid="{4BAF2B1E-D207-4D5B-8E89-44071C35D45B}"/>
    <cellStyle name="Normal 4 4 2 2 7 3 3" xfId="14900" xr:uid="{61FB1CA8-A983-4BA3-B93C-A4963814EBA0}"/>
    <cellStyle name="Normal 4 4 2 2 7 4" xfId="19123" xr:uid="{5BAB628A-441A-4F1F-8C17-F09F679D9B63}"/>
    <cellStyle name="Normal 4 4 2 2 7 5" xfId="10649" xr:uid="{1687A504-43C4-41EE-B1B9-78DC98D7CDE8}"/>
    <cellStyle name="Normal 4 4 2 2 8" xfId="2536" xr:uid="{00000000-0005-0000-0000-000013150000}"/>
    <cellStyle name="Normal 4 4 2 2 8 2" xfId="6819" xr:uid="{00000000-0005-0000-0000-000014150000}"/>
    <cellStyle name="Normal 4 4 2 2 8 2 2" xfId="23754" xr:uid="{63D9781A-891F-48D9-B563-12F596370C83}"/>
    <cellStyle name="Normal 4 4 2 2 8 2 3" xfId="15313" xr:uid="{E8167969-87AA-4CAD-A85D-744E6BAC425C}"/>
    <cellStyle name="Normal 4 4 2 2 8 3" xfId="19536" xr:uid="{0A2E1451-E78D-4128-87B2-C39A85D9D36D}"/>
    <cellStyle name="Normal 4 4 2 2 8 4" xfId="11084" xr:uid="{94876C73-E6EF-43E6-B7F5-BD85CE792343}"/>
    <cellStyle name="Normal 4 4 2 2 9" xfId="4754" xr:uid="{00000000-0005-0000-0000-000015150000}"/>
    <cellStyle name="Normal 4 4 2 2 9 2" xfId="21689" xr:uid="{4BF8730E-8F71-4411-9530-2D5B12B23477}"/>
    <cellStyle name="Normal 4 4 2 2 9 3" xfId="13248" xr:uid="{244637B7-811E-4450-BED2-58BFFDF1DB53}"/>
    <cellStyle name="Normal 4 4 2 3" xfId="384" xr:uid="{00000000-0005-0000-0000-000016150000}"/>
    <cellStyle name="Normal 4 4 2 3 10" xfId="9000" xr:uid="{FBD8255B-36BA-438C-9EAD-826A46456A4D}"/>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4252" xr:uid="{12086A61-02AB-4DA9-842B-C74CD87557C4}"/>
    <cellStyle name="Normal 4 4 2 3 2 2 2 2 3" xfId="15811" xr:uid="{E7987993-5BF3-4CC1-97BA-D011227BA494}"/>
    <cellStyle name="Normal 4 4 2 3 2 2 2 3" xfId="20034" xr:uid="{02BDC539-7AFB-4D32-A6CD-BF5374510AB7}"/>
    <cellStyle name="Normal 4 4 2 3 2 2 2 4" xfId="11592" xr:uid="{95029868-8746-4EC2-A3CC-D1BD6CB0E9A9}"/>
    <cellStyle name="Normal 4 4 2 3 2 2 3" xfId="5172" xr:uid="{00000000-0005-0000-0000-00001B150000}"/>
    <cellStyle name="Normal 4 4 2 3 2 2 3 2" xfId="22107" xr:uid="{59557766-A746-4AF2-89DC-7B10883D81D4}"/>
    <cellStyle name="Normal 4 4 2 3 2 2 3 3" xfId="13666" xr:uid="{EDAFDF10-7833-40C7-9148-E02BF7FFBD4B}"/>
    <cellStyle name="Normal 4 4 2 3 2 2 4" xfId="17889" xr:uid="{D4200A2F-81B1-4B91-A73E-C4F24BC3F063}"/>
    <cellStyle name="Normal 4 4 2 3 2 2 5" xfId="9415" xr:uid="{8267E527-E70E-49B3-8C67-90E242877F03}"/>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4665" xr:uid="{8596DB62-B1CE-4BF2-8A6B-EFFC12F0A0F1}"/>
    <cellStyle name="Normal 4 4 2 3 2 3 2 2 3" xfId="16224" xr:uid="{A875FC95-28FB-43FD-A826-B83255D663C8}"/>
    <cellStyle name="Normal 4 4 2 3 2 3 2 3" xfId="20447" xr:uid="{69A0AB8F-FFDA-4D24-8462-822D1686789B}"/>
    <cellStyle name="Normal 4 4 2 3 2 3 2 4" xfId="12005" xr:uid="{CE5A6ACC-A9D0-4D01-AF4F-0696D4FC7664}"/>
    <cellStyle name="Normal 4 4 2 3 2 3 3" xfId="5585" xr:uid="{00000000-0005-0000-0000-00001F150000}"/>
    <cellStyle name="Normal 4 4 2 3 2 3 3 2" xfId="22520" xr:uid="{E14B7761-82F4-4882-879C-DC1DCFA56972}"/>
    <cellStyle name="Normal 4 4 2 3 2 3 3 3" xfId="14079" xr:uid="{16822C20-BED8-409E-A916-95532FE79077}"/>
    <cellStyle name="Normal 4 4 2 3 2 3 4" xfId="18302" xr:uid="{7B8EECBB-9B25-4BC0-B108-1C21A1FA1EDE}"/>
    <cellStyle name="Normal 4 4 2 3 2 3 5" xfId="9828" xr:uid="{0BA67DAC-B6C3-4E71-9B08-2104F0CFE5CB}"/>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078" xr:uid="{1BF22C1E-7749-4468-A4D3-EB7D176CD679}"/>
    <cellStyle name="Normal 4 4 2 3 2 4 2 2 3" xfId="16637" xr:uid="{50254548-9F48-4729-9AF1-D9A44D7A5C89}"/>
    <cellStyle name="Normal 4 4 2 3 2 4 2 3" xfId="20860" xr:uid="{F5C0E91A-0BDC-4726-AC64-6A3E03570B08}"/>
    <cellStyle name="Normal 4 4 2 3 2 4 2 4" xfId="12418" xr:uid="{F2DEB4E8-A2EB-49E5-AB14-0D567BA99350}"/>
    <cellStyle name="Normal 4 4 2 3 2 4 3" xfId="5998" xr:uid="{00000000-0005-0000-0000-000023150000}"/>
    <cellStyle name="Normal 4 4 2 3 2 4 3 2" xfId="22933" xr:uid="{6210A3E8-CF33-49AF-B5D1-9DE7316D228F}"/>
    <cellStyle name="Normal 4 4 2 3 2 4 3 3" xfId="14492" xr:uid="{4CE93C10-CEDB-471B-AF16-5887209586F7}"/>
    <cellStyle name="Normal 4 4 2 3 2 4 4" xfId="18715" xr:uid="{72957296-D8FC-4C4E-ACB3-5FECA333D769}"/>
    <cellStyle name="Normal 4 4 2 3 2 4 5" xfId="10241" xr:uid="{EC01E916-C494-4DF3-A3FE-DE1592981ACB}"/>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5491" xr:uid="{C668EF73-303B-46A6-B0C1-927E4334D0B8}"/>
    <cellStyle name="Normal 4 4 2 3 2 5 2 2 3" xfId="17050" xr:uid="{DE0675D1-7318-44C1-9262-3FE592DC15CC}"/>
    <cellStyle name="Normal 4 4 2 3 2 5 2 3" xfId="21273" xr:uid="{9C0FD4B6-1483-4611-A1E5-D678567956B9}"/>
    <cellStyle name="Normal 4 4 2 3 2 5 2 4" xfId="12831" xr:uid="{07FDE514-EF48-4C04-BAAA-21B65B5C145A}"/>
    <cellStyle name="Normal 4 4 2 3 2 5 3" xfId="6411" xr:uid="{00000000-0005-0000-0000-000027150000}"/>
    <cellStyle name="Normal 4 4 2 3 2 5 3 2" xfId="23346" xr:uid="{51E00E02-3116-4087-B64D-B312FF1DE20E}"/>
    <cellStyle name="Normal 4 4 2 3 2 5 3 3" xfId="14905" xr:uid="{87011431-540A-4299-B4C9-4AEC018F788F}"/>
    <cellStyle name="Normal 4 4 2 3 2 5 4" xfId="19128" xr:uid="{0CA72098-FF21-47B9-8815-14F15BB22EDE}"/>
    <cellStyle name="Normal 4 4 2 3 2 5 5" xfId="10654" xr:uid="{55E52667-139D-408B-A98A-DCC08DA2B9BF}"/>
    <cellStyle name="Normal 4 4 2 3 2 6" xfId="2541" xr:uid="{00000000-0005-0000-0000-000028150000}"/>
    <cellStyle name="Normal 4 4 2 3 2 6 2" xfId="6824" xr:uid="{00000000-0005-0000-0000-000029150000}"/>
    <cellStyle name="Normal 4 4 2 3 2 6 2 2" xfId="23759" xr:uid="{2B687B79-6885-45CC-B183-795884B8511E}"/>
    <cellStyle name="Normal 4 4 2 3 2 6 2 3" xfId="15318" xr:uid="{4E5E5321-9B35-4A0B-9711-B089B8638C75}"/>
    <cellStyle name="Normal 4 4 2 3 2 6 3" xfId="19541" xr:uid="{331D0043-F975-4BFA-8E39-CF4B053D445E}"/>
    <cellStyle name="Normal 4 4 2 3 2 6 4" xfId="11089" xr:uid="{E397AA4B-F0AA-43AC-B103-FD2992BA8349}"/>
    <cellStyle name="Normal 4 4 2 3 2 7" xfId="4759" xr:uid="{00000000-0005-0000-0000-00002A150000}"/>
    <cellStyle name="Normal 4 4 2 3 2 7 2" xfId="21694" xr:uid="{27152576-0686-4735-8B14-F9F7C1E4D9E6}"/>
    <cellStyle name="Normal 4 4 2 3 2 7 3" xfId="13253" xr:uid="{3D8E2F8C-E814-4D26-A9CE-BE9A470D4C83}"/>
    <cellStyle name="Normal 4 4 2 3 2 8" xfId="17476" xr:uid="{359A4F0B-47AD-4CB1-A071-60BB0E13BEAC}"/>
    <cellStyle name="Normal 4 4 2 3 2 9" xfId="9001" xr:uid="{76F985A5-2762-4CF6-8742-450CD0CF3AB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4251" xr:uid="{BCA67113-8E88-4186-9055-4462B291CBF6}"/>
    <cellStyle name="Normal 4 4 2 3 3 2 2 3" xfId="15810" xr:uid="{048D8068-2AFF-4AAB-93BE-E965E3D8C722}"/>
    <cellStyle name="Normal 4 4 2 3 3 2 3" xfId="20033" xr:uid="{208EAF1F-9C8B-4997-8168-BA3B09E400FB}"/>
    <cellStyle name="Normal 4 4 2 3 3 2 4" xfId="11591" xr:uid="{8E7D2501-D694-4478-8A30-2D66DE9AFD38}"/>
    <cellStyle name="Normal 4 4 2 3 3 3" xfId="5171" xr:uid="{00000000-0005-0000-0000-00002E150000}"/>
    <cellStyle name="Normal 4 4 2 3 3 3 2" xfId="22106" xr:uid="{BE81A31D-5B93-4490-8307-34B0BA6BA448}"/>
    <cellStyle name="Normal 4 4 2 3 3 3 3" xfId="13665" xr:uid="{B67F9430-B36B-49B4-8848-942150BACA03}"/>
    <cellStyle name="Normal 4 4 2 3 3 4" xfId="17888" xr:uid="{1DDBCF10-1FE2-4BC8-997E-A6DF327D8370}"/>
    <cellStyle name="Normal 4 4 2 3 3 5" xfId="9414" xr:uid="{258E789B-431E-4588-A215-9A7C9C4A49FD}"/>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4664" xr:uid="{0808AFA9-4835-44FD-8C33-AACE1DCA61A8}"/>
    <cellStyle name="Normal 4 4 2 3 4 2 2 3" xfId="16223" xr:uid="{E1B8D9AD-E98E-4D8F-A831-0F59C65A0B49}"/>
    <cellStyle name="Normal 4 4 2 3 4 2 3" xfId="20446" xr:uid="{ECE6443F-B69C-4507-9A61-6A820D5D6051}"/>
    <cellStyle name="Normal 4 4 2 3 4 2 4" xfId="12004" xr:uid="{EB2956D0-93A0-43C9-9669-C937FD40716C}"/>
    <cellStyle name="Normal 4 4 2 3 4 3" xfId="5584" xr:uid="{00000000-0005-0000-0000-000032150000}"/>
    <cellStyle name="Normal 4 4 2 3 4 3 2" xfId="22519" xr:uid="{410A26FA-D857-47F9-9416-AEF0D93664D3}"/>
    <cellStyle name="Normal 4 4 2 3 4 3 3" xfId="14078" xr:uid="{D3B7F67D-8820-445C-8571-D0D8150EA589}"/>
    <cellStyle name="Normal 4 4 2 3 4 4" xfId="18301" xr:uid="{F93CE4BE-2D65-44D8-A242-36CBEDFB1438}"/>
    <cellStyle name="Normal 4 4 2 3 4 5" xfId="9827" xr:uid="{4276C0DC-3A09-496C-A53D-8446D133F166}"/>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077" xr:uid="{9CD3EF9E-DF95-4393-89BE-FAC7B6BD7CAB}"/>
    <cellStyle name="Normal 4 4 2 3 5 2 2 3" xfId="16636" xr:uid="{7D1F509D-28DD-4B4D-A459-9841CECBF6C2}"/>
    <cellStyle name="Normal 4 4 2 3 5 2 3" xfId="20859" xr:uid="{BF04CF30-766C-4380-B9C9-7C698F9FBB96}"/>
    <cellStyle name="Normal 4 4 2 3 5 2 4" xfId="12417" xr:uid="{FF9EBC14-8AFA-48F9-9AFA-71B2F25DB742}"/>
    <cellStyle name="Normal 4 4 2 3 5 3" xfId="5997" xr:uid="{00000000-0005-0000-0000-000036150000}"/>
    <cellStyle name="Normal 4 4 2 3 5 3 2" xfId="22932" xr:uid="{B2082783-34BE-48D9-9C25-359F5E822152}"/>
    <cellStyle name="Normal 4 4 2 3 5 3 3" xfId="14491" xr:uid="{1B71447D-76C8-4CDA-A573-83CA12AB5947}"/>
    <cellStyle name="Normal 4 4 2 3 5 4" xfId="18714" xr:uid="{7562FBED-B50D-4589-8046-A79FE93B9262}"/>
    <cellStyle name="Normal 4 4 2 3 5 5" xfId="10240" xr:uid="{208BD930-BE9F-47A1-8750-08BEB1222874}"/>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5490" xr:uid="{3323C063-5B72-4988-A6FA-EEA2EE141266}"/>
    <cellStyle name="Normal 4 4 2 3 6 2 2 3" xfId="17049" xr:uid="{7DCA872D-53AF-47E8-A9CF-DDFC0C5DAAD0}"/>
    <cellStyle name="Normal 4 4 2 3 6 2 3" xfId="21272" xr:uid="{1F54AD57-2472-4454-991F-5C4F6683B055}"/>
    <cellStyle name="Normal 4 4 2 3 6 2 4" xfId="12830" xr:uid="{16C4994B-87B0-42A1-8077-5D96F1B91104}"/>
    <cellStyle name="Normal 4 4 2 3 6 3" xfId="6410" xr:uid="{00000000-0005-0000-0000-00003A150000}"/>
    <cellStyle name="Normal 4 4 2 3 6 3 2" xfId="23345" xr:uid="{F8B63A5B-0EF0-4BA5-9F7C-CB08FDC3A9FD}"/>
    <cellStyle name="Normal 4 4 2 3 6 3 3" xfId="14904" xr:uid="{389F59AB-3C24-42FB-B12A-76A63CA8B9F1}"/>
    <cellStyle name="Normal 4 4 2 3 6 4" xfId="19127" xr:uid="{7B69AA6E-5106-4272-B991-BD835CEE7390}"/>
    <cellStyle name="Normal 4 4 2 3 6 5" xfId="10653" xr:uid="{7D465C51-D33B-4907-A6ED-DC1EE22BF35B}"/>
    <cellStyle name="Normal 4 4 2 3 7" xfId="2540" xr:uid="{00000000-0005-0000-0000-00003B150000}"/>
    <cellStyle name="Normal 4 4 2 3 7 2" xfId="6823" xr:uid="{00000000-0005-0000-0000-00003C150000}"/>
    <cellStyle name="Normal 4 4 2 3 7 2 2" xfId="23758" xr:uid="{537D46DC-093E-4D0D-AE98-6D62460E633D}"/>
    <cellStyle name="Normal 4 4 2 3 7 2 3" xfId="15317" xr:uid="{C883EFB2-2E20-41FA-A8DC-CB03CF21F885}"/>
    <cellStyle name="Normal 4 4 2 3 7 3" xfId="19540" xr:uid="{970BD4BC-1957-4A6C-B4D0-8F4C26650750}"/>
    <cellStyle name="Normal 4 4 2 3 7 4" xfId="11088" xr:uid="{A86DD32D-DA77-4AF0-A6E6-9EB522B5FB15}"/>
    <cellStyle name="Normal 4 4 2 3 8" xfId="4758" xr:uid="{00000000-0005-0000-0000-00003D150000}"/>
    <cellStyle name="Normal 4 4 2 3 8 2" xfId="21693" xr:uid="{5455CD4F-9981-43C4-AD97-C2A14BC5D873}"/>
    <cellStyle name="Normal 4 4 2 3 8 3" xfId="13252" xr:uid="{74CF731A-3980-4C7E-AFF0-B18CB44D9E74}"/>
    <cellStyle name="Normal 4 4 2 3 9" xfId="17475" xr:uid="{E0C76F7F-D165-4D23-98CE-D326FE8E9A1D}"/>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4253" xr:uid="{1DB6A8ED-7CF8-4FEA-A90F-607B3DD23F3F}"/>
    <cellStyle name="Normal 4 4 2 4 2 2 2 3" xfId="15812" xr:uid="{A7151A0E-8504-4C55-810A-68979F39A3F0}"/>
    <cellStyle name="Normal 4 4 2 4 2 2 3" xfId="20035" xr:uid="{E7E2EEA0-4878-48F0-B98E-E6E1DDC74C9B}"/>
    <cellStyle name="Normal 4 4 2 4 2 2 4" xfId="11593" xr:uid="{605B2D52-EB24-4E9D-A18F-42C0589FCF6B}"/>
    <cellStyle name="Normal 4 4 2 4 2 3" xfId="5173" xr:uid="{00000000-0005-0000-0000-000042150000}"/>
    <cellStyle name="Normal 4 4 2 4 2 3 2" xfId="22108" xr:uid="{B8EB3BA2-097F-4447-96F0-A8D6A06DC91E}"/>
    <cellStyle name="Normal 4 4 2 4 2 3 3" xfId="13667" xr:uid="{A9B2116A-3500-47B2-92DF-50705C3497FA}"/>
    <cellStyle name="Normal 4 4 2 4 2 4" xfId="17890" xr:uid="{E7C76E6A-852D-4C68-AB22-3A12CFE735C1}"/>
    <cellStyle name="Normal 4 4 2 4 2 5" xfId="9416" xr:uid="{7577DB28-EB17-42C2-A221-A70E807F0612}"/>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4666" xr:uid="{3F18CF3D-7DD4-446B-8F1A-125C70524AB3}"/>
    <cellStyle name="Normal 4 4 2 4 3 2 2 3" xfId="16225" xr:uid="{116F0864-44E7-47A7-9C99-CD99937B5FCB}"/>
    <cellStyle name="Normal 4 4 2 4 3 2 3" xfId="20448" xr:uid="{484FF3DA-D4EF-40CF-9E86-8B14412512BB}"/>
    <cellStyle name="Normal 4 4 2 4 3 2 4" xfId="12006" xr:uid="{2ACBCA40-96F4-4C0A-881A-B8E84FB68F9A}"/>
    <cellStyle name="Normal 4 4 2 4 3 3" xfId="5586" xr:uid="{00000000-0005-0000-0000-000046150000}"/>
    <cellStyle name="Normal 4 4 2 4 3 3 2" xfId="22521" xr:uid="{94FFCD6D-EB39-473C-A347-CB8CF84A9DB0}"/>
    <cellStyle name="Normal 4 4 2 4 3 3 3" xfId="14080" xr:uid="{05254530-D12A-49A5-A6D4-1E9191C693DE}"/>
    <cellStyle name="Normal 4 4 2 4 3 4" xfId="18303" xr:uid="{AAAB4600-6293-449B-A2E5-ACCF041F7250}"/>
    <cellStyle name="Normal 4 4 2 4 3 5" xfId="9829" xr:uid="{02F48E9F-B175-4BA3-AAF1-65B3A01C5659}"/>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079" xr:uid="{1FF321AB-54C6-429C-8703-7380BCDDD6DB}"/>
    <cellStyle name="Normal 4 4 2 4 4 2 2 3" xfId="16638" xr:uid="{68666F52-08EC-42D0-8B67-34774B228011}"/>
    <cellStyle name="Normal 4 4 2 4 4 2 3" xfId="20861" xr:uid="{EF8C63E9-FAE6-4BFE-AA2B-FFC565A0538C}"/>
    <cellStyle name="Normal 4 4 2 4 4 2 4" xfId="12419" xr:uid="{DAD86346-6946-4EB9-8C2C-1B5AD17AC014}"/>
    <cellStyle name="Normal 4 4 2 4 4 3" xfId="5999" xr:uid="{00000000-0005-0000-0000-00004A150000}"/>
    <cellStyle name="Normal 4 4 2 4 4 3 2" xfId="22934" xr:uid="{BF0F6A5A-F8DF-4986-8AD0-74C4C175CC50}"/>
    <cellStyle name="Normal 4 4 2 4 4 3 3" xfId="14493" xr:uid="{20AB9ABB-F090-41AF-9575-0229D7132B16}"/>
    <cellStyle name="Normal 4 4 2 4 4 4" xfId="18716" xr:uid="{159AAF07-A469-44C4-9328-7F4A0CFA8A53}"/>
    <cellStyle name="Normal 4 4 2 4 4 5" xfId="10242" xr:uid="{ECA10AEE-C80A-45A2-9BD7-7FCB3FA67066}"/>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5492" xr:uid="{9FDB892B-22EE-4BA9-AF2F-071645492A4A}"/>
    <cellStyle name="Normal 4 4 2 4 5 2 2 3" xfId="17051" xr:uid="{DFB99CED-D7FB-4210-932F-232CBEB7D92B}"/>
    <cellStyle name="Normal 4 4 2 4 5 2 3" xfId="21274" xr:uid="{C164C042-4DD9-446F-98D7-26CF20FC1FA2}"/>
    <cellStyle name="Normal 4 4 2 4 5 2 4" xfId="12832" xr:uid="{CEE793DB-085A-4E85-BE48-DF88AE448F67}"/>
    <cellStyle name="Normal 4 4 2 4 5 3" xfId="6412" xr:uid="{00000000-0005-0000-0000-00004E150000}"/>
    <cellStyle name="Normal 4 4 2 4 5 3 2" xfId="23347" xr:uid="{1DFBBFF4-5E22-4BAF-BDDB-4DF7863D6A9C}"/>
    <cellStyle name="Normal 4 4 2 4 5 3 3" xfId="14906" xr:uid="{15579C69-2E18-43F5-A9BE-E73DCE9FC073}"/>
    <cellStyle name="Normal 4 4 2 4 5 4" xfId="19129" xr:uid="{F31455D3-2C1C-4229-ADBC-F5B3B543C56F}"/>
    <cellStyle name="Normal 4 4 2 4 5 5" xfId="10655" xr:uid="{D7779F01-5094-47E4-AB6A-7AF316192B9A}"/>
    <cellStyle name="Normal 4 4 2 4 6" xfId="2542" xr:uid="{00000000-0005-0000-0000-00004F150000}"/>
    <cellStyle name="Normal 4 4 2 4 6 2" xfId="6825" xr:uid="{00000000-0005-0000-0000-000050150000}"/>
    <cellStyle name="Normal 4 4 2 4 6 2 2" xfId="23760" xr:uid="{82910B0D-B4A3-4C3F-80D9-E9B2F1AB3B3B}"/>
    <cellStyle name="Normal 4 4 2 4 6 2 3" xfId="15319" xr:uid="{E63E5418-0B46-4ABC-ADBA-F17FCD2FCD89}"/>
    <cellStyle name="Normal 4 4 2 4 6 3" xfId="19542" xr:uid="{006C917D-1F7C-4D65-965E-5868E0A5D71D}"/>
    <cellStyle name="Normal 4 4 2 4 6 4" xfId="11090" xr:uid="{F9D67800-1231-47C6-AFA2-8BB9EB23E168}"/>
    <cellStyle name="Normal 4 4 2 4 7" xfId="4760" xr:uid="{00000000-0005-0000-0000-000051150000}"/>
    <cellStyle name="Normal 4 4 2 4 7 2" xfId="21695" xr:uid="{4CBE996C-8DC9-4E0A-9D94-61B1E66CE40D}"/>
    <cellStyle name="Normal 4 4 2 4 7 3" xfId="13254" xr:uid="{C4FD0775-6563-404C-AA63-37F9C6EDB1AB}"/>
    <cellStyle name="Normal 4 4 2 4 8" xfId="17477" xr:uid="{378D35A0-053B-4CCA-BD54-722D99E28B7B}"/>
    <cellStyle name="Normal 4 4 2 4 9" xfId="9002" xr:uid="{1B90F3A7-0AEF-48DD-A23E-FFDBE13040C2}"/>
    <cellStyle name="Normal 4 4 2 5" xfId="854" xr:uid="{00000000-0005-0000-0000-000052150000}"/>
    <cellStyle name="Normal 4 4 2 5 2" xfId="3089" xr:uid="{00000000-0005-0000-0000-000053150000}"/>
    <cellStyle name="Normal 4 4 2 5 2 2" xfId="7311" xr:uid="{00000000-0005-0000-0000-000054150000}"/>
    <cellStyle name="Normal 4 4 2 5 2 2 2" xfId="24246" xr:uid="{52BD8C1C-6868-4AFC-9AFD-2382A89E0BF6}"/>
    <cellStyle name="Normal 4 4 2 5 2 2 3" xfId="15805" xr:uid="{559AD3B5-D4FA-40BA-A69A-F14FC0BA562B}"/>
    <cellStyle name="Normal 4 4 2 5 2 3" xfId="20028" xr:uid="{206273B2-2782-4160-A844-3890BCD2542C}"/>
    <cellStyle name="Normal 4 4 2 5 2 4" xfId="11586" xr:uid="{7DE4F8F5-975D-431C-9406-DBAACF13BAAA}"/>
    <cellStyle name="Normal 4 4 2 5 3" xfId="5166" xr:uid="{00000000-0005-0000-0000-000055150000}"/>
    <cellStyle name="Normal 4 4 2 5 3 2" xfId="22101" xr:uid="{5D51EF9A-8A0D-4532-AD3F-9090CC3B4B15}"/>
    <cellStyle name="Normal 4 4 2 5 3 3" xfId="13660" xr:uid="{8D6CA80E-8FDE-4441-A1E6-B92AF3C030AF}"/>
    <cellStyle name="Normal 4 4 2 5 4" xfId="17883" xr:uid="{C9569CDB-3787-4AF1-8B03-98BD3BD1E42C}"/>
    <cellStyle name="Normal 4 4 2 5 5" xfId="9409" xr:uid="{ED087B51-218A-4C8F-A498-E888A68A9258}"/>
    <cellStyle name="Normal 4 4 2 6" xfId="1272" xr:uid="{00000000-0005-0000-0000-000056150000}"/>
    <cellStyle name="Normal 4 4 2 6 2" xfId="3502" xr:uid="{00000000-0005-0000-0000-000057150000}"/>
    <cellStyle name="Normal 4 4 2 6 2 2" xfId="7724" xr:uid="{00000000-0005-0000-0000-000058150000}"/>
    <cellStyle name="Normal 4 4 2 6 2 2 2" xfId="24659" xr:uid="{DB35F602-905D-466C-AE57-00E21DE7E4A1}"/>
    <cellStyle name="Normal 4 4 2 6 2 2 3" xfId="16218" xr:uid="{FE098168-BB89-4E01-BDC1-C842A36058AA}"/>
    <cellStyle name="Normal 4 4 2 6 2 3" xfId="20441" xr:uid="{C79CA444-6034-409A-AAE5-0FCCC130EEF6}"/>
    <cellStyle name="Normal 4 4 2 6 2 4" xfId="11999" xr:uid="{05D26978-8450-4797-8990-FC4A6320473D}"/>
    <cellStyle name="Normal 4 4 2 6 3" xfId="5579" xr:uid="{00000000-0005-0000-0000-000059150000}"/>
    <cellStyle name="Normal 4 4 2 6 3 2" xfId="22514" xr:uid="{5A469BBE-C2E4-4FF8-86D3-41E483C51635}"/>
    <cellStyle name="Normal 4 4 2 6 3 3" xfId="14073" xr:uid="{D7729403-AF1D-41C0-B5D8-6797036D9EBC}"/>
    <cellStyle name="Normal 4 4 2 6 4" xfId="18296" xr:uid="{EA54DE1B-24D7-47BA-ACFE-AD6D976E9F78}"/>
    <cellStyle name="Normal 4 4 2 6 5" xfId="9822" xr:uid="{38D2EB51-0D87-4952-B102-FD28303C02BF}"/>
    <cellStyle name="Normal 4 4 2 7" xfId="1685" xr:uid="{00000000-0005-0000-0000-00005A150000}"/>
    <cellStyle name="Normal 4 4 2 7 2" xfId="3915" xr:uid="{00000000-0005-0000-0000-00005B150000}"/>
    <cellStyle name="Normal 4 4 2 7 2 2" xfId="8137" xr:uid="{00000000-0005-0000-0000-00005C150000}"/>
    <cellStyle name="Normal 4 4 2 7 2 2 2" xfId="25072" xr:uid="{B2325965-C700-4FF2-9739-3044E07957DD}"/>
    <cellStyle name="Normal 4 4 2 7 2 2 3" xfId="16631" xr:uid="{827D273D-5C08-4D70-B75E-1D45096C3A8D}"/>
    <cellStyle name="Normal 4 4 2 7 2 3" xfId="20854" xr:uid="{AFF153AD-60F8-44B5-9FEB-B870478E638B}"/>
    <cellStyle name="Normal 4 4 2 7 2 4" xfId="12412" xr:uid="{53A34EB3-E7CF-47E0-97B0-AC0332177033}"/>
    <cellStyle name="Normal 4 4 2 7 3" xfId="5992" xr:uid="{00000000-0005-0000-0000-00005D150000}"/>
    <cellStyle name="Normal 4 4 2 7 3 2" xfId="22927" xr:uid="{031FE711-224A-4C80-8336-DA85C6294521}"/>
    <cellStyle name="Normal 4 4 2 7 3 3" xfId="14486" xr:uid="{22D676EF-1121-41B0-AB16-0B2FDE2CB96C}"/>
    <cellStyle name="Normal 4 4 2 7 4" xfId="18709" xr:uid="{6EC77E60-3BE5-4FC5-94EC-56E030DD9D23}"/>
    <cellStyle name="Normal 4 4 2 7 5" xfId="10235" xr:uid="{684C3AEA-99A8-48C7-8EC5-DA4D9BA36E05}"/>
    <cellStyle name="Normal 4 4 2 8" xfId="2099" xr:uid="{00000000-0005-0000-0000-00005E150000}"/>
    <cellStyle name="Normal 4 4 2 8 2" xfId="4328" xr:uid="{00000000-0005-0000-0000-00005F150000}"/>
    <cellStyle name="Normal 4 4 2 8 2 2" xfId="8550" xr:uid="{00000000-0005-0000-0000-000060150000}"/>
    <cellStyle name="Normal 4 4 2 8 2 2 2" xfId="25485" xr:uid="{0710474B-D008-48E3-8836-6B2E6E2C8287}"/>
    <cellStyle name="Normal 4 4 2 8 2 2 3" xfId="17044" xr:uid="{D64A3B12-6D12-485A-A189-F406A3BD7B7F}"/>
    <cellStyle name="Normal 4 4 2 8 2 3" xfId="21267" xr:uid="{8D82AEFF-56F6-4361-B68C-C5359B3102DE}"/>
    <cellStyle name="Normal 4 4 2 8 2 4" xfId="12825" xr:uid="{A6095BB1-880C-419F-B4D6-509D072EE381}"/>
    <cellStyle name="Normal 4 4 2 8 3" xfId="6405" xr:uid="{00000000-0005-0000-0000-000061150000}"/>
    <cellStyle name="Normal 4 4 2 8 3 2" xfId="23340" xr:uid="{8D2250AA-4562-4836-B53D-EEEB9B720CE1}"/>
    <cellStyle name="Normal 4 4 2 8 3 3" xfId="14899" xr:uid="{912D0B29-BDB1-41D0-930D-D387FCB5DB47}"/>
    <cellStyle name="Normal 4 4 2 8 4" xfId="19122" xr:uid="{C447D4B7-C114-4AF3-BA4F-EB9C4066DFC1}"/>
    <cellStyle name="Normal 4 4 2 8 5" xfId="10648" xr:uid="{32F02968-DFE2-4AD2-849D-C4D757211963}"/>
    <cellStyle name="Normal 4 4 2 9" xfId="2535" xr:uid="{00000000-0005-0000-0000-000062150000}"/>
    <cellStyle name="Normal 4 4 2 9 2" xfId="6818" xr:uid="{00000000-0005-0000-0000-000063150000}"/>
    <cellStyle name="Normal 4 4 2 9 2 2" xfId="23753" xr:uid="{5227214B-136C-4D84-B525-CACF72E37547}"/>
    <cellStyle name="Normal 4 4 2 9 2 3" xfId="15312" xr:uid="{8F565734-5278-419B-9847-CD85A4B8554D}"/>
    <cellStyle name="Normal 4 4 2 9 3" xfId="19535" xr:uid="{B1493EF7-E29E-4694-A8CD-9B9B45DED541}"/>
    <cellStyle name="Normal 4 4 2 9 4" xfId="11083" xr:uid="{407CCEB9-5F26-44AF-B5AE-70F9EC174C74}"/>
    <cellStyle name="Normal 4 4 3" xfId="387" xr:uid="{00000000-0005-0000-0000-000064150000}"/>
    <cellStyle name="Normal 4 4 3 10" xfId="17478" xr:uid="{B0677826-1C3C-4103-8637-25B3DE01B966}"/>
    <cellStyle name="Normal 4 4 3 11" xfId="9003" xr:uid="{3BFE59E1-8A93-46F5-8E6E-344FED99C7DB}"/>
    <cellStyle name="Normal 4 4 3 2" xfId="388" xr:uid="{00000000-0005-0000-0000-000065150000}"/>
    <cellStyle name="Normal 4 4 3 2 10" xfId="9004" xr:uid="{B2AA74DF-CBA3-4328-B42D-B94B802EAB2F}"/>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4256" xr:uid="{3D7049FC-3B23-4233-9B65-D7157EDFF8CF}"/>
    <cellStyle name="Normal 4 4 3 2 2 2 2 2 3" xfId="15815" xr:uid="{B56A6B44-3106-44AB-B096-FCFF6E1EF850}"/>
    <cellStyle name="Normal 4 4 3 2 2 2 2 3" xfId="20038" xr:uid="{A97B966A-DD68-4C8F-9910-64FF4150A366}"/>
    <cellStyle name="Normal 4 4 3 2 2 2 2 4" xfId="11596" xr:uid="{85366795-B799-45B9-BD88-0DCA32897C0D}"/>
    <cellStyle name="Normal 4 4 3 2 2 2 3" xfId="5176" xr:uid="{00000000-0005-0000-0000-00006A150000}"/>
    <cellStyle name="Normal 4 4 3 2 2 2 3 2" xfId="22111" xr:uid="{47BA9ED7-A636-4749-BF4E-7077DE65E7B7}"/>
    <cellStyle name="Normal 4 4 3 2 2 2 3 3" xfId="13670" xr:uid="{4859C88D-98A0-4812-A86D-5B033D49BA33}"/>
    <cellStyle name="Normal 4 4 3 2 2 2 4" xfId="17893" xr:uid="{A61AB81A-A40E-438B-BCAB-C1A102EF0EB9}"/>
    <cellStyle name="Normal 4 4 3 2 2 2 5" xfId="9419" xr:uid="{4B61C02C-5C37-45FA-A63B-BC5512FF5374}"/>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4669" xr:uid="{87F6000D-3C82-4567-9C00-599D7801EF8A}"/>
    <cellStyle name="Normal 4 4 3 2 2 3 2 2 3" xfId="16228" xr:uid="{45A7CF10-DC00-40BE-8D8A-D9966050763E}"/>
    <cellStyle name="Normal 4 4 3 2 2 3 2 3" xfId="20451" xr:uid="{7924CED9-6D75-4AC7-BAC0-361741B4DFCB}"/>
    <cellStyle name="Normal 4 4 3 2 2 3 2 4" xfId="12009" xr:uid="{41AD98C2-A0F8-485A-BF59-C21CE0784220}"/>
    <cellStyle name="Normal 4 4 3 2 2 3 3" xfId="5589" xr:uid="{00000000-0005-0000-0000-00006E150000}"/>
    <cellStyle name="Normal 4 4 3 2 2 3 3 2" xfId="22524" xr:uid="{A9ECB673-3F35-4B79-83B4-659D234E1BE3}"/>
    <cellStyle name="Normal 4 4 3 2 2 3 3 3" xfId="14083" xr:uid="{F49EFCF5-19CA-402B-A641-D581AA7E347F}"/>
    <cellStyle name="Normal 4 4 3 2 2 3 4" xfId="18306" xr:uid="{551281D1-1EB7-46DD-80D4-E7BEA488951A}"/>
    <cellStyle name="Normal 4 4 3 2 2 3 5" xfId="9832" xr:uid="{DD36E622-1379-4F63-B812-EAD152F6886A}"/>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082" xr:uid="{47BF86CB-DD3C-4EAB-99FF-68A2DB165F91}"/>
    <cellStyle name="Normal 4 4 3 2 2 4 2 2 3" xfId="16641" xr:uid="{D4D99433-6654-4C78-A93A-972B8638F32E}"/>
    <cellStyle name="Normal 4 4 3 2 2 4 2 3" xfId="20864" xr:uid="{42AABD38-7627-4924-9B4B-A18C01EF7376}"/>
    <cellStyle name="Normal 4 4 3 2 2 4 2 4" xfId="12422" xr:uid="{47C996D4-AA0B-4CEB-8516-621CACB0AD22}"/>
    <cellStyle name="Normal 4 4 3 2 2 4 3" xfId="6002" xr:uid="{00000000-0005-0000-0000-000072150000}"/>
    <cellStyle name="Normal 4 4 3 2 2 4 3 2" xfId="22937" xr:uid="{FCC51A45-4509-4347-A393-8EE4E3A5CB66}"/>
    <cellStyle name="Normal 4 4 3 2 2 4 3 3" xfId="14496" xr:uid="{7518737C-92E2-4380-B47C-072AD9D7F24A}"/>
    <cellStyle name="Normal 4 4 3 2 2 4 4" xfId="18719" xr:uid="{2A9D469A-FA56-4E74-B9DE-25F9C988F8F0}"/>
    <cellStyle name="Normal 4 4 3 2 2 4 5" xfId="10245" xr:uid="{F37507F9-9A57-4243-B565-922D21DE53CB}"/>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5495" xr:uid="{B734C1F3-6DBD-4FD6-A0E6-7716BD41B0D4}"/>
    <cellStyle name="Normal 4 4 3 2 2 5 2 2 3" xfId="17054" xr:uid="{94473144-8938-47D7-B63A-3A2B84DA23E7}"/>
    <cellStyle name="Normal 4 4 3 2 2 5 2 3" xfId="21277" xr:uid="{F5A95889-0B6B-4C86-BBF1-55DB4F0F1E62}"/>
    <cellStyle name="Normal 4 4 3 2 2 5 2 4" xfId="12835" xr:uid="{CC9B32B4-DFF8-437E-B1FC-EBECF7D278D2}"/>
    <cellStyle name="Normal 4 4 3 2 2 5 3" xfId="6415" xr:uid="{00000000-0005-0000-0000-000076150000}"/>
    <cellStyle name="Normal 4 4 3 2 2 5 3 2" xfId="23350" xr:uid="{D1737E13-885B-4DEB-B72D-F35EDB2AF8D5}"/>
    <cellStyle name="Normal 4 4 3 2 2 5 3 3" xfId="14909" xr:uid="{1B2E9DF1-701D-4B0E-9793-0CC065C6B427}"/>
    <cellStyle name="Normal 4 4 3 2 2 5 4" xfId="19132" xr:uid="{F86D8FAC-637C-47B7-BD23-77322BBBF9E4}"/>
    <cellStyle name="Normal 4 4 3 2 2 5 5" xfId="10658" xr:uid="{4681ECB2-3368-4D42-A988-6F514C49049C}"/>
    <cellStyle name="Normal 4 4 3 2 2 6" xfId="2545" xr:uid="{00000000-0005-0000-0000-000077150000}"/>
    <cellStyle name="Normal 4 4 3 2 2 6 2" xfId="6828" xr:uid="{00000000-0005-0000-0000-000078150000}"/>
    <cellStyle name="Normal 4 4 3 2 2 6 2 2" xfId="23763" xr:uid="{69B45A89-B572-4200-ACCD-44F086835838}"/>
    <cellStyle name="Normal 4 4 3 2 2 6 2 3" xfId="15322" xr:uid="{C8900CC4-6FF8-4AC1-8CEA-C8F2EB002410}"/>
    <cellStyle name="Normal 4 4 3 2 2 6 3" xfId="19545" xr:uid="{88F74EC1-CE5B-4153-A64D-E83F1E78F432}"/>
    <cellStyle name="Normal 4 4 3 2 2 6 4" xfId="11093" xr:uid="{4F2F08DF-83AA-48AB-A1B0-2EF7F9BC8C9C}"/>
    <cellStyle name="Normal 4 4 3 2 2 7" xfId="4763" xr:uid="{00000000-0005-0000-0000-000079150000}"/>
    <cellStyle name="Normal 4 4 3 2 2 7 2" xfId="21698" xr:uid="{A8416954-F57E-456E-B69B-0D927AFD5BA9}"/>
    <cellStyle name="Normal 4 4 3 2 2 7 3" xfId="13257" xr:uid="{DED2E4A4-E70A-4362-A983-08724B552E91}"/>
    <cellStyle name="Normal 4 4 3 2 2 8" xfId="17480" xr:uid="{171508AF-89A1-4630-ADF4-E34513EDFE06}"/>
    <cellStyle name="Normal 4 4 3 2 2 9" xfId="9005" xr:uid="{475F9818-6AB6-4E7A-BB47-7BC191D622B3}"/>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4255" xr:uid="{D4624162-A691-493E-AD12-53C4D19809B6}"/>
    <cellStyle name="Normal 4 4 3 2 3 2 2 3" xfId="15814" xr:uid="{7AD41E93-8756-4436-800E-B35402228548}"/>
    <cellStyle name="Normal 4 4 3 2 3 2 3" xfId="20037" xr:uid="{EC70E99A-4F8E-4042-9317-206F425B0001}"/>
    <cellStyle name="Normal 4 4 3 2 3 2 4" xfId="11595" xr:uid="{AB14EEE7-F9F2-405F-B72F-ECEEBE04D4A1}"/>
    <cellStyle name="Normal 4 4 3 2 3 3" xfId="5175" xr:uid="{00000000-0005-0000-0000-00007D150000}"/>
    <cellStyle name="Normal 4 4 3 2 3 3 2" xfId="22110" xr:uid="{C175AF5E-F0E2-49B0-9ED7-C44F340C9215}"/>
    <cellStyle name="Normal 4 4 3 2 3 3 3" xfId="13669" xr:uid="{E55A9936-0106-4C96-9497-0F4910058189}"/>
    <cellStyle name="Normal 4 4 3 2 3 4" xfId="17892" xr:uid="{C6306FA5-9315-4009-BFA7-289FD2974952}"/>
    <cellStyle name="Normal 4 4 3 2 3 5" xfId="9418" xr:uid="{45347D3C-8646-48A8-A487-7672F4FFF605}"/>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4668" xr:uid="{8EC3658F-C3F5-43EA-BCB6-C850F74597A9}"/>
    <cellStyle name="Normal 4 4 3 2 4 2 2 3" xfId="16227" xr:uid="{02F90D37-7F43-4F7D-97D8-CB9011902842}"/>
    <cellStyle name="Normal 4 4 3 2 4 2 3" xfId="20450" xr:uid="{E7E554CB-102E-40BC-B262-6994AE3B6A9F}"/>
    <cellStyle name="Normal 4 4 3 2 4 2 4" xfId="12008" xr:uid="{9EE1D7FC-9F34-48DD-B9F6-CBE705265C4B}"/>
    <cellStyle name="Normal 4 4 3 2 4 3" xfId="5588" xr:uid="{00000000-0005-0000-0000-000081150000}"/>
    <cellStyle name="Normal 4 4 3 2 4 3 2" xfId="22523" xr:uid="{55E4745A-04C8-4B8A-A391-39C99B40CFBF}"/>
    <cellStyle name="Normal 4 4 3 2 4 3 3" xfId="14082" xr:uid="{BDFB3005-44D0-4AD0-AEB3-777476F06AE6}"/>
    <cellStyle name="Normal 4 4 3 2 4 4" xfId="18305" xr:uid="{49F41F31-40A3-4DE4-A3D9-D6DE53BDA8BF}"/>
    <cellStyle name="Normal 4 4 3 2 4 5" xfId="9831" xr:uid="{E2BE1C3B-C7AD-455A-9E6E-EBC476DDE2CB}"/>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081" xr:uid="{7C842CF6-EBF1-4B8D-9235-650E8CD89B6A}"/>
    <cellStyle name="Normal 4 4 3 2 5 2 2 3" xfId="16640" xr:uid="{35346673-C2D6-404C-9E85-D586DD8221C6}"/>
    <cellStyle name="Normal 4 4 3 2 5 2 3" xfId="20863" xr:uid="{326B6EC4-27D4-4755-B75A-50F4CF19FBB6}"/>
    <cellStyle name="Normal 4 4 3 2 5 2 4" xfId="12421" xr:uid="{992B5A69-567D-47BB-9D48-FAEB7C1DB1CD}"/>
    <cellStyle name="Normal 4 4 3 2 5 3" xfId="6001" xr:uid="{00000000-0005-0000-0000-000085150000}"/>
    <cellStyle name="Normal 4 4 3 2 5 3 2" xfId="22936" xr:uid="{DD32290A-B703-46E1-B914-6F451F1BFE21}"/>
    <cellStyle name="Normal 4 4 3 2 5 3 3" xfId="14495" xr:uid="{CC0A13A2-98F7-481D-B82E-F4B2C3BD5A46}"/>
    <cellStyle name="Normal 4 4 3 2 5 4" xfId="18718" xr:uid="{FB06E487-7C1E-4039-B969-069860F529D0}"/>
    <cellStyle name="Normal 4 4 3 2 5 5" xfId="10244" xr:uid="{0C86CCF4-BC4E-4A61-B81A-C4F9A15A4DC5}"/>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5494" xr:uid="{47F6314D-D108-4BA9-9620-29C9395B6534}"/>
    <cellStyle name="Normal 4 4 3 2 6 2 2 3" xfId="17053" xr:uid="{3E8829EB-5891-4E68-8290-E3E10B59274A}"/>
    <cellStyle name="Normal 4 4 3 2 6 2 3" xfId="21276" xr:uid="{E49CB776-D983-4BC4-98BB-37195AED994C}"/>
    <cellStyle name="Normal 4 4 3 2 6 2 4" xfId="12834" xr:uid="{CCB41D95-4A9A-4CE8-8DA5-0A6849AC4714}"/>
    <cellStyle name="Normal 4 4 3 2 6 3" xfId="6414" xr:uid="{00000000-0005-0000-0000-000089150000}"/>
    <cellStyle name="Normal 4 4 3 2 6 3 2" xfId="23349" xr:uid="{F1D9A1CA-5D68-465A-8D73-8F7801552200}"/>
    <cellStyle name="Normal 4 4 3 2 6 3 3" xfId="14908" xr:uid="{B47E4D8B-7C05-4880-A482-CDDE750C773D}"/>
    <cellStyle name="Normal 4 4 3 2 6 4" xfId="19131" xr:uid="{7F4074DD-04EE-4112-9293-16237B0FCFC5}"/>
    <cellStyle name="Normal 4 4 3 2 6 5" xfId="10657" xr:uid="{3718E219-25A4-4B40-A775-27CCF89C9F4C}"/>
    <cellStyle name="Normal 4 4 3 2 7" xfId="2544" xr:uid="{00000000-0005-0000-0000-00008A150000}"/>
    <cellStyle name="Normal 4 4 3 2 7 2" xfId="6827" xr:uid="{00000000-0005-0000-0000-00008B150000}"/>
    <cellStyle name="Normal 4 4 3 2 7 2 2" xfId="23762" xr:uid="{5A1958C4-2876-4F48-8506-874B85377B97}"/>
    <cellStyle name="Normal 4 4 3 2 7 2 3" xfId="15321" xr:uid="{0DB32D96-B660-4470-A81C-821FB85765D8}"/>
    <cellStyle name="Normal 4 4 3 2 7 3" xfId="19544" xr:uid="{19BC1096-9EF7-45AC-82F6-1D0960B3EEC3}"/>
    <cellStyle name="Normal 4 4 3 2 7 4" xfId="11092" xr:uid="{81E9E973-98F7-425D-93BD-338E78E24018}"/>
    <cellStyle name="Normal 4 4 3 2 8" xfId="4762" xr:uid="{00000000-0005-0000-0000-00008C150000}"/>
    <cellStyle name="Normal 4 4 3 2 8 2" xfId="21697" xr:uid="{E4506817-9A93-466A-85EE-5DE0B63F1797}"/>
    <cellStyle name="Normal 4 4 3 2 8 3" xfId="13256" xr:uid="{2135755C-8EF5-4C68-A7A2-8C6160130EBE}"/>
    <cellStyle name="Normal 4 4 3 2 9" xfId="17479" xr:uid="{63C15059-D0F4-404B-8E63-D6E0A03C60E1}"/>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4257" xr:uid="{3D7E7212-C259-46D8-9426-F1DE87A66D89}"/>
    <cellStyle name="Normal 4 4 3 3 2 2 2 3" xfId="15816" xr:uid="{DEDE3D74-852B-4B00-A043-BC88AB003AF3}"/>
    <cellStyle name="Normal 4 4 3 3 2 2 3" xfId="20039" xr:uid="{2A00DC58-B198-4ABB-B802-0C3EC98042B9}"/>
    <cellStyle name="Normal 4 4 3 3 2 2 4" xfId="11597" xr:uid="{6AB30600-86BA-47B3-A518-48D09C3540F5}"/>
    <cellStyle name="Normal 4 4 3 3 2 3" xfId="5177" xr:uid="{00000000-0005-0000-0000-000091150000}"/>
    <cellStyle name="Normal 4 4 3 3 2 3 2" xfId="22112" xr:uid="{F53FE9FB-DAA5-4ACB-A095-2843C77BA5D4}"/>
    <cellStyle name="Normal 4 4 3 3 2 3 3" xfId="13671" xr:uid="{B4AAA148-4A9E-4D09-BFAA-3A27477937E3}"/>
    <cellStyle name="Normal 4 4 3 3 2 4" xfId="17894" xr:uid="{FB05ABF0-8F7D-4398-87BC-CCAF554AEF5C}"/>
    <cellStyle name="Normal 4 4 3 3 2 5" xfId="9420" xr:uid="{5E66745E-2367-4A0B-8222-D4C7C85F0357}"/>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4670" xr:uid="{C736CC39-30A7-4E0C-8CC3-12A14C2BE737}"/>
    <cellStyle name="Normal 4 4 3 3 3 2 2 3" xfId="16229" xr:uid="{3F2708B0-6649-4110-8FF6-2B58EAE77030}"/>
    <cellStyle name="Normal 4 4 3 3 3 2 3" xfId="20452" xr:uid="{0014275E-2A5E-4F57-9768-9616EF803887}"/>
    <cellStyle name="Normal 4 4 3 3 3 2 4" xfId="12010" xr:uid="{3E0452C5-68AF-46AA-889F-6F0178653530}"/>
    <cellStyle name="Normal 4 4 3 3 3 3" xfId="5590" xr:uid="{00000000-0005-0000-0000-000095150000}"/>
    <cellStyle name="Normal 4 4 3 3 3 3 2" xfId="22525" xr:uid="{96B2D3E8-C646-4281-B374-0C7A28E7D657}"/>
    <cellStyle name="Normal 4 4 3 3 3 3 3" xfId="14084" xr:uid="{1044E658-085D-4894-9364-D09CFB75F693}"/>
    <cellStyle name="Normal 4 4 3 3 3 4" xfId="18307" xr:uid="{6E715DDB-7DA8-423C-B732-B7D929DB51F3}"/>
    <cellStyle name="Normal 4 4 3 3 3 5" xfId="9833" xr:uid="{1B09F58F-4243-49DC-A1A4-CE74FEF6D745}"/>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083" xr:uid="{56407FDC-A6DF-45EC-B3A9-8A966E6CC54B}"/>
    <cellStyle name="Normal 4 4 3 3 4 2 2 3" xfId="16642" xr:uid="{0CD6F19E-09FF-4D88-9D9F-589A4F8E74FA}"/>
    <cellStyle name="Normal 4 4 3 3 4 2 3" xfId="20865" xr:uid="{16129637-CCD9-4551-BAA3-C900BE1C9003}"/>
    <cellStyle name="Normal 4 4 3 3 4 2 4" xfId="12423" xr:uid="{6E44EEB7-88AC-45C4-ADF2-C425FFBF7F0C}"/>
    <cellStyle name="Normal 4 4 3 3 4 3" xfId="6003" xr:uid="{00000000-0005-0000-0000-000099150000}"/>
    <cellStyle name="Normal 4 4 3 3 4 3 2" xfId="22938" xr:uid="{F5F7B832-E004-4973-8250-89C6B03A0D65}"/>
    <cellStyle name="Normal 4 4 3 3 4 3 3" xfId="14497" xr:uid="{9915E391-9323-4195-8FC1-FE1EFFA68290}"/>
    <cellStyle name="Normal 4 4 3 3 4 4" xfId="18720" xr:uid="{06F3DAA2-A682-4F31-A703-290D2A378149}"/>
    <cellStyle name="Normal 4 4 3 3 4 5" xfId="10246" xr:uid="{094F0E8D-4A66-4249-BD77-93EA08174BA5}"/>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5496" xr:uid="{869008B3-9D20-4A60-A56D-0A80EFCB438C}"/>
    <cellStyle name="Normal 4 4 3 3 5 2 2 3" xfId="17055" xr:uid="{AD964C74-9CEE-481E-B7D2-3618834C1A9A}"/>
    <cellStyle name="Normal 4 4 3 3 5 2 3" xfId="21278" xr:uid="{0D4672A1-808C-4954-92C0-26B720EDBECD}"/>
    <cellStyle name="Normal 4 4 3 3 5 2 4" xfId="12836" xr:uid="{B3ECAD62-A605-4934-9553-6E9CE846CC3E}"/>
    <cellStyle name="Normal 4 4 3 3 5 3" xfId="6416" xr:uid="{00000000-0005-0000-0000-00009D150000}"/>
    <cellStyle name="Normal 4 4 3 3 5 3 2" xfId="23351" xr:uid="{A4033A34-DEBF-4BB6-BD46-EE3B608D91BF}"/>
    <cellStyle name="Normal 4 4 3 3 5 3 3" xfId="14910" xr:uid="{5F6E6A0C-53E8-4FA3-8618-D805DD14EFF3}"/>
    <cellStyle name="Normal 4 4 3 3 5 4" xfId="19133" xr:uid="{A88F70BC-F382-47B0-8558-9F8658FB007F}"/>
    <cellStyle name="Normal 4 4 3 3 5 5" xfId="10659" xr:uid="{BF53FF7F-6937-44C2-9DBE-0602951B142C}"/>
    <cellStyle name="Normal 4 4 3 3 6" xfId="2546" xr:uid="{00000000-0005-0000-0000-00009E150000}"/>
    <cellStyle name="Normal 4 4 3 3 6 2" xfId="6829" xr:uid="{00000000-0005-0000-0000-00009F150000}"/>
    <cellStyle name="Normal 4 4 3 3 6 2 2" xfId="23764" xr:uid="{E0390FFF-B1CA-476A-990F-D600F9460153}"/>
    <cellStyle name="Normal 4 4 3 3 6 2 3" xfId="15323" xr:uid="{B6AE6465-3ABA-4135-8E3A-AE58B855DB4E}"/>
    <cellStyle name="Normal 4 4 3 3 6 3" xfId="19546" xr:uid="{881137AE-3817-4AF3-AD1F-1CF714C014EE}"/>
    <cellStyle name="Normal 4 4 3 3 6 4" xfId="11094" xr:uid="{47134C9A-C4A5-4F80-9DC5-49F2DB025A8D}"/>
    <cellStyle name="Normal 4 4 3 3 7" xfId="4764" xr:uid="{00000000-0005-0000-0000-0000A0150000}"/>
    <cellStyle name="Normal 4 4 3 3 7 2" xfId="21699" xr:uid="{9C611302-4B01-4A5C-A06C-4568246A607F}"/>
    <cellStyle name="Normal 4 4 3 3 7 3" xfId="13258" xr:uid="{5ECB593B-4E85-44D2-BC71-5DAB978B907D}"/>
    <cellStyle name="Normal 4 4 3 3 8" xfId="17481" xr:uid="{1199788C-07CB-4960-B44F-69C411DEAD60}"/>
    <cellStyle name="Normal 4 4 3 3 9" xfId="9006" xr:uid="{B384BAAF-BC47-45FB-ADA7-0F94DB7895DC}"/>
    <cellStyle name="Normal 4 4 3 4" xfId="862" xr:uid="{00000000-0005-0000-0000-0000A1150000}"/>
    <cellStyle name="Normal 4 4 3 4 2" xfId="3097" xr:uid="{00000000-0005-0000-0000-0000A2150000}"/>
    <cellStyle name="Normal 4 4 3 4 2 2" xfId="7319" xr:uid="{00000000-0005-0000-0000-0000A3150000}"/>
    <cellStyle name="Normal 4 4 3 4 2 2 2" xfId="24254" xr:uid="{0CD250AA-5030-4CD2-874C-E9FB73E1B2CF}"/>
    <cellStyle name="Normal 4 4 3 4 2 2 3" xfId="15813" xr:uid="{9F63E2F8-017E-485F-A6F1-198F24B58803}"/>
    <cellStyle name="Normal 4 4 3 4 2 3" xfId="20036" xr:uid="{D87DCE2A-AF72-4C40-BCC4-B4C3EF9B3E04}"/>
    <cellStyle name="Normal 4 4 3 4 2 4" xfId="11594" xr:uid="{28F4BB75-D38D-40F9-8DFB-0A2B18EE9EB8}"/>
    <cellStyle name="Normal 4 4 3 4 3" xfId="5174" xr:uid="{00000000-0005-0000-0000-0000A4150000}"/>
    <cellStyle name="Normal 4 4 3 4 3 2" xfId="22109" xr:uid="{1C242F6A-F218-4783-AAA8-BECBA468B98C}"/>
    <cellStyle name="Normal 4 4 3 4 3 3" xfId="13668" xr:uid="{4CD64937-2373-466D-8442-9E7B40FE6319}"/>
    <cellStyle name="Normal 4 4 3 4 4" xfId="17891" xr:uid="{055FE4F8-D29C-4BB6-9FC6-0457E88E57DA}"/>
    <cellStyle name="Normal 4 4 3 4 5" xfId="9417" xr:uid="{84A20FF1-A73A-47CD-A0FF-868798FAF706}"/>
    <cellStyle name="Normal 4 4 3 5" xfId="1280" xr:uid="{00000000-0005-0000-0000-0000A5150000}"/>
    <cellStyle name="Normal 4 4 3 5 2" xfId="3510" xr:uid="{00000000-0005-0000-0000-0000A6150000}"/>
    <cellStyle name="Normal 4 4 3 5 2 2" xfId="7732" xr:uid="{00000000-0005-0000-0000-0000A7150000}"/>
    <cellStyle name="Normal 4 4 3 5 2 2 2" xfId="24667" xr:uid="{8E38ADDC-3241-4C48-9E74-1D3217E7B838}"/>
    <cellStyle name="Normal 4 4 3 5 2 2 3" xfId="16226" xr:uid="{0E598AC2-6115-4961-95FB-0E5F5B54563B}"/>
    <cellStyle name="Normal 4 4 3 5 2 3" xfId="20449" xr:uid="{79C40DCD-4DBA-4A4C-B6DD-C63DBFFE9E06}"/>
    <cellStyle name="Normal 4 4 3 5 2 4" xfId="12007" xr:uid="{89D93B4C-C681-4DD8-98CC-0502C2447ACA}"/>
    <cellStyle name="Normal 4 4 3 5 3" xfId="5587" xr:uid="{00000000-0005-0000-0000-0000A8150000}"/>
    <cellStyle name="Normal 4 4 3 5 3 2" xfId="22522" xr:uid="{CA1063AA-1B98-4350-AAB5-86993EC49322}"/>
    <cellStyle name="Normal 4 4 3 5 3 3" xfId="14081" xr:uid="{7786CFDA-F08B-4B91-BDDB-E204B0CE79B9}"/>
    <cellStyle name="Normal 4 4 3 5 4" xfId="18304" xr:uid="{A0B38988-335C-4888-A605-F66DFCC51C20}"/>
    <cellStyle name="Normal 4 4 3 5 5" xfId="9830" xr:uid="{1DD9E068-50CF-4BF6-B8E7-F8013CB1F8CD}"/>
    <cellStyle name="Normal 4 4 3 6" xfId="1693" xr:uid="{00000000-0005-0000-0000-0000A9150000}"/>
    <cellStyle name="Normal 4 4 3 6 2" xfId="3923" xr:uid="{00000000-0005-0000-0000-0000AA150000}"/>
    <cellStyle name="Normal 4 4 3 6 2 2" xfId="8145" xr:uid="{00000000-0005-0000-0000-0000AB150000}"/>
    <cellStyle name="Normal 4 4 3 6 2 2 2" xfId="25080" xr:uid="{816B9554-FD10-4AAA-945E-3B0E07D044DD}"/>
    <cellStyle name="Normal 4 4 3 6 2 2 3" xfId="16639" xr:uid="{230C5255-96A0-4DD5-80CE-B70D6BB116DD}"/>
    <cellStyle name="Normal 4 4 3 6 2 3" xfId="20862" xr:uid="{920E26AB-7488-480D-848F-BA265A180802}"/>
    <cellStyle name="Normal 4 4 3 6 2 4" xfId="12420" xr:uid="{1F0C2F7F-2C44-4EE3-9D1B-6994B10D1006}"/>
    <cellStyle name="Normal 4 4 3 6 3" xfId="6000" xr:uid="{00000000-0005-0000-0000-0000AC150000}"/>
    <cellStyle name="Normal 4 4 3 6 3 2" xfId="22935" xr:uid="{26D8F46D-32A9-42A3-9883-08A93FCB4206}"/>
    <cellStyle name="Normal 4 4 3 6 3 3" xfId="14494" xr:uid="{7729C293-F69A-4526-B5C5-0F6C00EDA717}"/>
    <cellStyle name="Normal 4 4 3 6 4" xfId="18717" xr:uid="{C15D9DF2-0E92-4931-B25D-F4BD50B4BDD3}"/>
    <cellStyle name="Normal 4 4 3 6 5" xfId="10243" xr:uid="{8CF4596A-DC28-4C4A-9972-D18579BAA3D3}"/>
    <cellStyle name="Normal 4 4 3 7" xfId="2107" xr:uid="{00000000-0005-0000-0000-0000AD150000}"/>
    <cellStyle name="Normal 4 4 3 7 2" xfId="4336" xr:uid="{00000000-0005-0000-0000-0000AE150000}"/>
    <cellStyle name="Normal 4 4 3 7 2 2" xfId="8558" xr:uid="{00000000-0005-0000-0000-0000AF150000}"/>
    <cellStyle name="Normal 4 4 3 7 2 2 2" xfId="25493" xr:uid="{034A743B-D756-4805-A881-AEFE12AF06D9}"/>
    <cellStyle name="Normal 4 4 3 7 2 2 3" xfId="17052" xr:uid="{9AFFE785-24AE-4DFE-AB7C-A9182B0B9FCF}"/>
    <cellStyle name="Normal 4 4 3 7 2 3" xfId="21275" xr:uid="{85F4AC43-0BF5-4166-AD41-27624B764EC4}"/>
    <cellStyle name="Normal 4 4 3 7 2 4" xfId="12833" xr:uid="{4BBC44C1-BEB1-40AC-B467-3D660878AC41}"/>
    <cellStyle name="Normal 4 4 3 7 3" xfId="6413" xr:uid="{00000000-0005-0000-0000-0000B0150000}"/>
    <cellStyle name="Normal 4 4 3 7 3 2" xfId="23348" xr:uid="{A8934CB9-0CFD-4C6B-A2AD-DBF346EBD3F5}"/>
    <cellStyle name="Normal 4 4 3 7 3 3" xfId="14907" xr:uid="{322AAE7D-DB96-494F-BF7D-DF53064FC617}"/>
    <cellStyle name="Normal 4 4 3 7 4" xfId="19130" xr:uid="{6D2F77C3-88FC-4D72-A58F-6DA9E03DED2F}"/>
    <cellStyle name="Normal 4 4 3 7 5" xfId="10656" xr:uid="{75AA7EF6-E1C0-4F69-B09E-221026E7DB95}"/>
    <cellStyle name="Normal 4 4 3 8" xfId="2543" xr:uid="{00000000-0005-0000-0000-0000B1150000}"/>
    <cellStyle name="Normal 4 4 3 8 2" xfId="6826" xr:uid="{00000000-0005-0000-0000-0000B2150000}"/>
    <cellStyle name="Normal 4 4 3 8 2 2" xfId="23761" xr:uid="{FB918892-E28D-49A4-A00B-65303D4EDA6E}"/>
    <cellStyle name="Normal 4 4 3 8 2 3" xfId="15320" xr:uid="{4EE31A8D-7036-4F3F-8296-3BC2F77F64DF}"/>
    <cellStyle name="Normal 4 4 3 8 3" xfId="19543" xr:uid="{703063A3-1DDB-499F-88DB-312E1F009C8C}"/>
    <cellStyle name="Normal 4 4 3 8 4" xfId="11091" xr:uid="{D823B932-8F42-428C-8251-0C2751C7F5D1}"/>
    <cellStyle name="Normal 4 4 3 9" xfId="4761" xr:uid="{00000000-0005-0000-0000-0000B3150000}"/>
    <cellStyle name="Normal 4 4 3 9 2" xfId="21696" xr:uid="{E4CA4983-72FE-40DB-B822-32BCAC264E4C}"/>
    <cellStyle name="Normal 4 4 3 9 3" xfId="13255" xr:uid="{6B186DB5-7EE0-46A3-96DF-C7E5C238B095}"/>
    <cellStyle name="Normal 4 4 4" xfId="391" xr:uid="{00000000-0005-0000-0000-0000B4150000}"/>
    <cellStyle name="Normal 4 4 4 10" xfId="9007" xr:uid="{98260DA3-6743-4108-BB0A-78A042FE939C}"/>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4259" xr:uid="{5864E0FF-B6F0-42F8-AFC6-A548CCA62603}"/>
    <cellStyle name="Normal 4 4 4 2 2 2 2 3" xfId="15818" xr:uid="{20C972C3-E50B-4C62-9DEC-061049FFB69D}"/>
    <cellStyle name="Normal 4 4 4 2 2 2 3" xfId="20041" xr:uid="{2082BA2C-E146-4DCF-BA1C-C7656BB7EEF0}"/>
    <cellStyle name="Normal 4 4 4 2 2 2 4" xfId="11599" xr:uid="{BB66C2C4-8A4E-4E19-8A9A-FC5F4986682C}"/>
    <cellStyle name="Normal 4 4 4 2 2 3" xfId="5179" xr:uid="{00000000-0005-0000-0000-0000B9150000}"/>
    <cellStyle name="Normal 4 4 4 2 2 3 2" xfId="22114" xr:uid="{CD4A022A-B63C-4D0F-9A77-11006E07C827}"/>
    <cellStyle name="Normal 4 4 4 2 2 3 3" xfId="13673" xr:uid="{8C4BF7A9-D9CD-46B2-8383-6DC51DE15A3F}"/>
    <cellStyle name="Normal 4 4 4 2 2 4" xfId="17896" xr:uid="{598586CA-A8B4-4E91-913D-2F4276E2A49E}"/>
    <cellStyle name="Normal 4 4 4 2 2 5" xfId="9422" xr:uid="{9749D6EC-4B50-4929-9E08-D81924CFA57E}"/>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4672" xr:uid="{DAC2053C-4E34-4D09-BB26-0C360CBF5830}"/>
    <cellStyle name="Normal 4 4 4 2 3 2 2 3" xfId="16231" xr:uid="{437DDDD0-5E96-454D-8643-9FCE68CD6174}"/>
    <cellStyle name="Normal 4 4 4 2 3 2 3" xfId="20454" xr:uid="{A61364A1-243A-4234-AEB3-15F10BA576E2}"/>
    <cellStyle name="Normal 4 4 4 2 3 2 4" xfId="12012" xr:uid="{84B9493D-33FB-41C5-8305-CB89701A099A}"/>
    <cellStyle name="Normal 4 4 4 2 3 3" xfId="5592" xr:uid="{00000000-0005-0000-0000-0000BD150000}"/>
    <cellStyle name="Normal 4 4 4 2 3 3 2" xfId="22527" xr:uid="{7C941C7C-5E3A-4383-B499-732B75CA2260}"/>
    <cellStyle name="Normal 4 4 4 2 3 3 3" xfId="14086" xr:uid="{6AC3D200-850C-4368-86D0-0386EA2F1FE3}"/>
    <cellStyle name="Normal 4 4 4 2 3 4" xfId="18309" xr:uid="{60BB1E52-F40E-48A7-937E-E94D953EEB2B}"/>
    <cellStyle name="Normal 4 4 4 2 3 5" xfId="9835" xr:uid="{15A9CAAB-9835-4B23-A1E3-662F8AC509D1}"/>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085" xr:uid="{C9024ADB-A9E0-48B5-B266-C245D4FEC707}"/>
    <cellStyle name="Normal 4 4 4 2 4 2 2 3" xfId="16644" xr:uid="{6BEE90D4-ECBD-4386-B692-3EE98BEFBFF9}"/>
    <cellStyle name="Normal 4 4 4 2 4 2 3" xfId="20867" xr:uid="{8E46A024-2D28-4BE5-8AAD-2984646DF6A0}"/>
    <cellStyle name="Normal 4 4 4 2 4 2 4" xfId="12425" xr:uid="{F35EE75A-845C-4C40-95E5-0D0D4ABCE2D0}"/>
    <cellStyle name="Normal 4 4 4 2 4 3" xfId="6005" xr:uid="{00000000-0005-0000-0000-0000C1150000}"/>
    <cellStyle name="Normal 4 4 4 2 4 3 2" xfId="22940" xr:uid="{F663A886-C46C-4DCC-B26C-E4472624AD34}"/>
    <cellStyle name="Normal 4 4 4 2 4 3 3" xfId="14499" xr:uid="{53FA231F-645B-465F-B3A0-7B1B3C0AF380}"/>
    <cellStyle name="Normal 4 4 4 2 4 4" xfId="18722" xr:uid="{8F96475F-CA40-418E-930E-EC7CAD35BB0C}"/>
    <cellStyle name="Normal 4 4 4 2 4 5" xfId="10248" xr:uid="{C16F8AA8-AA50-463B-B349-2906A1395421}"/>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5498" xr:uid="{1C1E053D-0694-4B40-BF97-E9959B1E22FF}"/>
    <cellStyle name="Normal 4 4 4 2 5 2 2 3" xfId="17057" xr:uid="{AE98A7F3-1BA3-454B-BE2C-7F14AC77C07C}"/>
    <cellStyle name="Normal 4 4 4 2 5 2 3" xfId="21280" xr:uid="{230EF358-8740-43BE-B714-6BB7CEE51285}"/>
    <cellStyle name="Normal 4 4 4 2 5 2 4" xfId="12838" xr:uid="{11B83A14-0D4A-4971-9BD9-A785E6B52CA8}"/>
    <cellStyle name="Normal 4 4 4 2 5 3" xfId="6418" xr:uid="{00000000-0005-0000-0000-0000C5150000}"/>
    <cellStyle name="Normal 4 4 4 2 5 3 2" xfId="23353" xr:uid="{54412313-2563-485B-85A2-2AFFABE611EF}"/>
    <cellStyle name="Normal 4 4 4 2 5 3 3" xfId="14912" xr:uid="{11EF1E6E-D178-466E-A542-5B9558E6AC36}"/>
    <cellStyle name="Normal 4 4 4 2 5 4" xfId="19135" xr:uid="{39A070B9-1348-4ED7-8BE2-6E2920DED63C}"/>
    <cellStyle name="Normal 4 4 4 2 5 5" xfId="10661" xr:uid="{B4FE05DA-8A54-4D45-B135-9C9DABE15A6F}"/>
    <cellStyle name="Normal 4 4 4 2 6" xfId="2548" xr:uid="{00000000-0005-0000-0000-0000C6150000}"/>
    <cellStyle name="Normal 4 4 4 2 6 2" xfId="6831" xr:uid="{00000000-0005-0000-0000-0000C7150000}"/>
    <cellStyle name="Normal 4 4 4 2 6 2 2" xfId="23766" xr:uid="{CC587FD7-CFB0-427D-969E-04AB1D8EA381}"/>
    <cellStyle name="Normal 4 4 4 2 6 2 3" xfId="15325" xr:uid="{17594F20-011F-4459-BAE5-EDEFF28A2893}"/>
    <cellStyle name="Normal 4 4 4 2 6 3" xfId="19548" xr:uid="{611025E1-8810-44FC-A28F-2F60336D1CB3}"/>
    <cellStyle name="Normal 4 4 4 2 6 4" xfId="11096" xr:uid="{56B19442-3D6F-4189-BBDF-7B597C264025}"/>
    <cellStyle name="Normal 4 4 4 2 7" xfId="4766" xr:uid="{00000000-0005-0000-0000-0000C8150000}"/>
    <cellStyle name="Normal 4 4 4 2 7 2" xfId="21701" xr:uid="{E7A72A22-1B0F-40C9-AD01-18C021E7F499}"/>
    <cellStyle name="Normal 4 4 4 2 7 3" xfId="13260" xr:uid="{375332A4-C94C-4A7E-8A13-F75DC971C677}"/>
    <cellStyle name="Normal 4 4 4 2 8" xfId="17483" xr:uid="{63391413-44BC-4E2F-B2A9-FA29A8A4790C}"/>
    <cellStyle name="Normal 4 4 4 2 9" xfId="9008" xr:uid="{E9714498-E696-4B59-BEE0-AE0673744945}"/>
    <cellStyle name="Normal 4 4 4 3" xfId="866" xr:uid="{00000000-0005-0000-0000-0000C9150000}"/>
    <cellStyle name="Normal 4 4 4 3 2" xfId="3101" xr:uid="{00000000-0005-0000-0000-0000CA150000}"/>
    <cellStyle name="Normal 4 4 4 3 2 2" xfId="7323" xr:uid="{00000000-0005-0000-0000-0000CB150000}"/>
    <cellStyle name="Normal 4 4 4 3 2 2 2" xfId="24258" xr:uid="{8C8E0B27-D989-47C8-8252-7AD8B32D0CCC}"/>
    <cellStyle name="Normal 4 4 4 3 2 2 3" xfId="15817" xr:uid="{C749FA11-3B0B-475A-971D-21ABF5F13940}"/>
    <cellStyle name="Normal 4 4 4 3 2 3" xfId="20040" xr:uid="{DB157499-B36B-4EEF-8755-824A05820922}"/>
    <cellStyle name="Normal 4 4 4 3 2 4" xfId="11598" xr:uid="{9AF37C53-477E-42D8-A6FE-64D61EACBCB8}"/>
    <cellStyle name="Normal 4 4 4 3 3" xfId="5178" xr:uid="{00000000-0005-0000-0000-0000CC150000}"/>
    <cellStyle name="Normal 4 4 4 3 3 2" xfId="22113" xr:uid="{8CF39BC1-4FC9-488E-8CA5-0003D4DB8FD0}"/>
    <cellStyle name="Normal 4 4 4 3 3 3" xfId="13672" xr:uid="{682BAD6C-B819-4FBD-BA10-62B87953F054}"/>
    <cellStyle name="Normal 4 4 4 3 4" xfId="17895" xr:uid="{D7F91D11-8106-4E72-8E5D-5D9405A92AFF}"/>
    <cellStyle name="Normal 4 4 4 3 5" xfId="9421" xr:uid="{74A9419B-B5B0-4B0F-B0DC-1DF5C9F80B6F}"/>
    <cellStyle name="Normal 4 4 4 4" xfId="1284" xr:uid="{00000000-0005-0000-0000-0000CD150000}"/>
    <cellStyle name="Normal 4 4 4 4 2" xfId="3514" xr:uid="{00000000-0005-0000-0000-0000CE150000}"/>
    <cellStyle name="Normal 4 4 4 4 2 2" xfId="7736" xr:uid="{00000000-0005-0000-0000-0000CF150000}"/>
    <cellStyle name="Normal 4 4 4 4 2 2 2" xfId="24671" xr:uid="{DCB5BD3A-8D85-42D2-993A-B9B61B19EEB2}"/>
    <cellStyle name="Normal 4 4 4 4 2 2 3" xfId="16230" xr:uid="{94ACEEA0-9BA7-427E-ACA6-D50AD6F48FBE}"/>
    <cellStyle name="Normal 4 4 4 4 2 3" xfId="20453" xr:uid="{E4CC0618-332F-4BBD-AB4C-839F34377C8C}"/>
    <cellStyle name="Normal 4 4 4 4 2 4" xfId="12011" xr:uid="{833F4D55-F330-4635-910A-E9FAAF1E6944}"/>
    <cellStyle name="Normal 4 4 4 4 3" xfId="5591" xr:uid="{00000000-0005-0000-0000-0000D0150000}"/>
    <cellStyle name="Normal 4 4 4 4 3 2" xfId="22526" xr:uid="{178EE815-AAB9-4092-8A6C-4330BF8E2FD8}"/>
    <cellStyle name="Normal 4 4 4 4 3 3" xfId="14085" xr:uid="{604B8A36-590D-4A57-9E52-13B7625FE854}"/>
    <cellStyle name="Normal 4 4 4 4 4" xfId="18308" xr:uid="{7FDAF98F-02C3-4549-A8C3-ADA734391832}"/>
    <cellStyle name="Normal 4 4 4 4 5" xfId="9834" xr:uid="{9DAC8479-1846-40B3-9D21-A326BDEB2B8B}"/>
    <cellStyle name="Normal 4 4 4 5" xfId="1697" xr:uid="{00000000-0005-0000-0000-0000D1150000}"/>
    <cellStyle name="Normal 4 4 4 5 2" xfId="3927" xr:uid="{00000000-0005-0000-0000-0000D2150000}"/>
    <cellStyle name="Normal 4 4 4 5 2 2" xfId="8149" xr:uid="{00000000-0005-0000-0000-0000D3150000}"/>
    <cellStyle name="Normal 4 4 4 5 2 2 2" xfId="25084" xr:uid="{A66B7FA3-8016-44CA-8B8A-59651F145918}"/>
    <cellStyle name="Normal 4 4 4 5 2 2 3" xfId="16643" xr:uid="{F8AD078F-0A75-4799-99DF-95BB754E069E}"/>
    <cellStyle name="Normal 4 4 4 5 2 3" xfId="20866" xr:uid="{8DC4BA44-08FC-4943-B35B-BA59CAD9F8FF}"/>
    <cellStyle name="Normal 4 4 4 5 2 4" xfId="12424" xr:uid="{382F9E18-531A-4223-99CC-2E5157FBE099}"/>
    <cellStyle name="Normal 4 4 4 5 3" xfId="6004" xr:uid="{00000000-0005-0000-0000-0000D4150000}"/>
    <cellStyle name="Normal 4 4 4 5 3 2" xfId="22939" xr:uid="{DCEE027B-C192-4A92-82E1-08446EE64D36}"/>
    <cellStyle name="Normal 4 4 4 5 3 3" xfId="14498" xr:uid="{13E4CC06-57A0-40B0-B0B6-4D203B896EFD}"/>
    <cellStyle name="Normal 4 4 4 5 4" xfId="18721" xr:uid="{F7A1A2DD-1A1F-4FDD-8421-E90387CD47F3}"/>
    <cellStyle name="Normal 4 4 4 5 5" xfId="10247" xr:uid="{D1996EBE-6082-420A-A7B4-8BFE5F323F60}"/>
    <cellStyle name="Normal 4 4 4 6" xfId="2111" xr:uid="{00000000-0005-0000-0000-0000D5150000}"/>
    <cellStyle name="Normal 4 4 4 6 2" xfId="4340" xr:uid="{00000000-0005-0000-0000-0000D6150000}"/>
    <cellStyle name="Normal 4 4 4 6 2 2" xfId="8562" xr:uid="{00000000-0005-0000-0000-0000D7150000}"/>
    <cellStyle name="Normal 4 4 4 6 2 2 2" xfId="25497" xr:uid="{2227427A-BAC7-458A-BCFB-4D0215CF1C2D}"/>
    <cellStyle name="Normal 4 4 4 6 2 2 3" xfId="17056" xr:uid="{728B9788-E377-4EB2-AE3D-E2FDA1FAEE2D}"/>
    <cellStyle name="Normal 4 4 4 6 2 3" xfId="21279" xr:uid="{D5C0D763-7989-45C0-8987-6B10D9670018}"/>
    <cellStyle name="Normal 4 4 4 6 2 4" xfId="12837" xr:uid="{E2C09C94-F3BB-4099-97F2-B196CCB92AA8}"/>
    <cellStyle name="Normal 4 4 4 6 3" xfId="6417" xr:uid="{00000000-0005-0000-0000-0000D8150000}"/>
    <cellStyle name="Normal 4 4 4 6 3 2" xfId="23352" xr:uid="{B0EF658B-9490-4CEF-92B4-703EF899FD7A}"/>
    <cellStyle name="Normal 4 4 4 6 3 3" xfId="14911" xr:uid="{46C1D5D3-86AF-4E76-8951-84E756084798}"/>
    <cellStyle name="Normal 4 4 4 6 4" xfId="19134" xr:uid="{5D0C7936-AEB4-4247-BE33-F66AAE753785}"/>
    <cellStyle name="Normal 4 4 4 6 5" xfId="10660" xr:uid="{7E12015D-C381-44A5-ABC8-201C5A2811B9}"/>
    <cellStyle name="Normal 4 4 4 7" xfId="2547" xr:uid="{00000000-0005-0000-0000-0000D9150000}"/>
    <cellStyle name="Normal 4 4 4 7 2" xfId="6830" xr:uid="{00000000-0005-0000-0000-0000DA150000}"/>
    <cellStyle name="Normal 4 4 4 7 2 2" xfId="23765" xr:uid="{F7733E27-3017-4BB9-86C0-4D07D4AF8F17}"/>
    <cellStyle name="Normal 4 4 4 7 2 3" xfId="15324" xr:uid="{80244A61-1116-4E36-BC1F-4EE0FADEBD3E}"/>
    <cellStyle name="Normal 4 4 4 7 3" xfId="19547" xr:uid="{320715C0-5A40-41EE-954E-BB266ADAEC38}"/>
    <cellStyle name="Normal 4 4 4 7 4" xfId="11095" xr:uid="{9C556B0D-3B86-4AE6-B13C-C26B03EE93B2}"/>
    <cellStyle name="Normal 4 4 4 8" xfId="4765" xr:uid="{00000000-0005-0000-0000-0000DB150000}"/>
    <cellStyle name="Normal 4 4 4 8 2" xfId="21700" xr:uid="{FEE6C40E-BCAF-49E5-8531-1F5609246BCA}"/>
    <cellStyle name="Normal 4 4 4 8 3" xfId="13259" xr:uid="{9C5DD6DB-F2BF-40EB-BC2D-9CBCCE94FE28}"/>
    <cellStyle name="Normal 4 4 4 9" xfId="17482" xr:uid="{F535A322-60B7-43AA-AAD4-63032D14692A}"/>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24260" xr:uid="{60CF366E-1F49-48C3-A9D8-F87A3C771273}"/>
    <cellStyle name="Normal 4 4 5 2 2 2 3" xfId="15819" xr:uid="{6E1D3DC4-ED46-4744-A50C-5B74785C30CC}"/>
    <cellStyle name="Normal 4 4 5 2 2 3" xfId="20042" xr:uid="{505FE835-45E2-4749-86F9-A78C63FE0D3B}"/>
    <cellStyle name="Normal 4 4 5 2 2 4" xfId="11600" xr:uid="{EF319E2D-01BB-472D-8057-969019A76643}"/>
    <cellStyle name="Normal 4 4 5 2 3" xfId="5180" xr:uid="{00000000-0005-0000-0000-0000E0150000}"/>
    <cellStyle name="Normal 4 4 5 2 3 2" xfId="22115" xr:uid="{FBBB7A2A-92F7-4487-8C71-078E54B27B66}"/>
    <cellStyle name="Normal 4 4 5 2 3 3" xfId="13674" xr:uid="{71EB68DF-AFFE-49D5-A307-9CF7E7510002}"/>
    <cellStyle name="Normal 4 4 5 2 4" xfId="17897" xr:uid="{06124164-3D34-4215-8FA2-EA215E2C9528}"/>
    <cellStyle name="Normal 4 4 5 2 5" xfId="9423" xr:uid="{292C85C7-B8BF-4C24-8549-6A95F2441A09}"/>
    <cellStyle name="Normal 4 4 5 3" xfId="1286" xr:uid="{00000000-0005-0000-0000-0000E1150000}"/>
    <cellStyle name="Normal 4 4 5 3 2" xfId="3516" xr:uid="{00000000-0005-0000-0000-0000E2150000}"/>
    <cellStyle name="Normal 4 4 5 3 2 2" xfId="7738" xr:uid="{00000000-0005-0000-0000-0000E3150000}"/>
    <cellStyle name="Normal 4 4 5 3 2 2 2" xfId="24673" xr:uid="{0A94BE38-D086-4516-86F9-4F18B2830EAB}"/>
    <cellStyle name="Normal 4 4 5 3 2 2 3" xfId="16232" xr:uid="{378D20E6-479B-4115-9C28-559A1E159D06}"/>
    <cellStyle name="Normal 4 4 5 3 2 3" xfId="20455" xr:uid="{ED39B202-1CED-44F4-A39C-555D29E95AE9}"/>
    <cellStyle name="Normal 4 4 5 3 2 4" xfId="12013" xr:uid="{E96C252D-1FA0-400F-B2B4-19BE3846B026}"/>
    <cellStyle name="Normal 4 4 5 3 3" xfId="5593" xr:uid="{00000000-0005-0000-0000-0000E4150000}"/>
    <cellStyle name="Normal 4 4 5 3 3 2" xfId="22528" xr:uid="{997F8F54-B689-40D0-99C6-06453D5CC2D7}"/>
    <cellStyle name="Normal 4 4 5 3 3 3" xfId="14087" xr:uid="{71863D97-7CD4-48DF-9429-E9770E05C704}"/>
    <cellStyle name="Normal 4 4 5 3 4" xfId="18310" xr:uid="{FBB44C9A-22DF-47A6-B7C8-893EA2F3CB75}"/>
    <cellStyle name="Normal 4 4 5 3 5" xfId="9836" xr:uid="{45E141D5-2FB5-4B4A-A602-CBA00ADF9513}"/>
    <cellStyle name="Normal 4 4 5 4" xfId="1699" xr:uid="{00000000-0005-0000-0000-0000E5150000}"/>
    <cellStyle name="Normal 4 4 5 4 2" xfId="3929" xr:uid="{00000000-0005-0000-0000-0000E6150000}"/>
    <cellStyle name="Normal 4 4 5 4 2 2" xfId="8151" xr:uid="{00000000-0005-0000-0000-0000E7150000}"/>
    <cellStyle name="Normal 4 4 5 4 2 2 2" xfId="25086" xr:uid="{228DC12C-0EF2-496A-9C72-32AC73BDDF2E}"/>
    <cellStyle name="Normal 4 4 5 4 2 2 3" xfId="16645" xr:uid="{33247D25-23B5-4023-BE00-95BC65A6EEFE}"/>
    <cellStyle name="Normal 4 4 5 4 2 3" xfId="20868" xr:uid="{D50FF3EB-5FFA-4FF7-982A-8F88631FC1EE}"/>
    <cellStyle name="Normal 4 4 5 4 2 4" xfId="12426" xr:uid="{33092D32-58BB-474C-BAB1-43C177051233}"/>
    <cellStyle name="Normal 4 4 5 4 3" xfId="6006" xr:uid="{00000000-0005-0000-0000-0000E8150000}"/>
    <cellStyle name="Normal 4 4 5 4 3 2" xfId="22941" xr:uid="{4DDB8297-F76F-4E28-877C-BB939A7A088F}"/>
    <cellStyle name="Normal 4 4 5 4 3 3" xfId="14500" xr:uid="{AA60A3BD-F1BE-475F-8CEC-4C78CEF1B25B}"/>
    <cellStyle name="Normal 4 4 5 4 4" xfId="18723" xr:uid="{381817AC-D593-4CD6-8DEA-A99EF1EA0E79}"/>
    <cellStyle name="Normal 4 4 5 4 5" xfId="10249" xr:uid="{8BAF2AF1-B6CE-4D17-B5CB-BE2930BC8466}"/>
    <cellStyle name="Normal 4 4 5 5" xfId="2113" xr:uid="{00000000-0005-0000-0000-0000E9150000}"/>
    <cellStyle name="Normal 4 4 5 5 2" xfId="4342" xr:uid="{00000000-0005-0000-0000-0000EA150000}"/>
    <cellStyle name="Normal 4 4 5 5 2 2" xfId="8564" xr:uid="{00000000-0005-0000-0000-0000EB150000}"/>
    <cellStyle name="Normal 4 4 5 5 2 2 2" xfId="25499" xr:uid="{D756BF77-EB28-4FE1-88E7-8DDCE012FF17}"/>
    <cellStyle name="Normal 4 4 5 5 2 2 3" xfId="17058" xr:uid="{E9358C33-FE98-4258-A23C-2418A3A3FBC6}"/>
    <cellStyle name="Normal 4 4 5 5 2 3" xfId="21281" xr:uid="{0C76F756-EF2E-428D-83F2-352D7AF3D4AE}"/>
    <cellStyle name="Normal 4 4 5 5 2 4" xfId="12839" xr:uid="{E4139A88-AC2B-4792-9A5A-AB0B5244825A}"/>
    <cellStyle name="Normal 4 4 5 5 3" xfId="6419" xr:uid="{00000000-0005-0000-0000-0000EC150000}"/>
    <cellStyle name="Normal 4 4 5 5 3 2" xfId="23354" xr:uid="{92D55D1D-5713-4614-8392-B10057A5D95C}"/>
    <cellStyle name="Normal 4 4 5 5 3 3" xfId="14913" xr:uid="{1664338D-6BCD-4C0E-9D88-864CC4B4E2CA}"/>
    <cellStyle name="Normal 4 4 5 5 4" xfId="19136" xr:uid="{8D18C639-674E-4361-93A3-181E670C27DB}"/>
    <cellStyle name="Normal 4 4 5 5 5" xfId="10662" xr:uid="{9E67AF72-915E-4D66-81DD-187F50F488D2}"/>
    <cellStyle name="Normal 4 4 5 6" xfId="2549" xr:uid="{00000000-0005-0000-0000-0000ED150000}"/>
    <cellStyle name="Normal 4 4 5 6 2" xfId="6832" xr:uid="{00000000-0005-0000-0000-0000EE150000}"/>
    <cellStyle name="Normal 4 4 5 6 2 2" xfId="23767" xr:uid="{9879A102-53A5-4F04-8637-129BCE14333C}"/>
    <cellStyle name="Normal 4 4 5 6 2 3" xfId="15326" xr:uid="{D0E25D50-5A58-4A64-A937-18921A46780B}"/>
    <cellStyle name="Normal 4 4 5 6 3" xfId="19549" xr:uid="{FEB3DCC0-49B6-4690-9230-2D3D5A043630}"/>
    <cellStyle name="Normal 4 4 5 6 4" xfId="11097" xr:uid="{7B137335-DE2C-4B02-A692-83224A1680FC}"/>
    <cellStyle name="Normal 4 4 5 7" xfId="4767" xr:uid="{00000000-0005-0000-0000-0000EF150000}"/>
    <cellStyle name="Normal 4 4 5 7 2" xfId="21702" xr:uid="{E39C89C3-C50D-446D-A056-AF9587CC57CC}"/>
    <cellStyle name="Normal 4 4 5 7 3" xfId="13261" xr:uid="{5D6A08E1-A92E-4132-8E3A-6D5B11CDABBA}"/>
    <cellStyle name="Normal 4 4 5 8" xfId="17484" xr:uid="{B9B633ED-8722-4026-8E44-E6F787D9D00B}"/>
    <cellStyle name="Normal 4 4 5 9" xfId="9009" xr:uid="{87002056-0D9A-4997-AD97-62190FD18E22}"/>
    <cellStyle name="Normal 4 4 6" xfId="853" xr:uid="{00000000-0005-0000-0000-0000F0150000}"/>
    <cellStyle name="Normal 4 4 6 2" xfId="3088" xr:uid="{00000000-0005-0000-0000-0000F1150000}"/>
    <cellStyle name="Normal 4 4 6 2 2" xfId="7310" xr:uid="{00000000-0005-0000-0000-0000F2150000}"/>
    <cellStyle name="Normal 4 4 6 2 2 2" xfId="24245" xr:uid="{61441CBD-C748-44F1-9FE5-AED1E3F8C83B}"/>
    <cellStyle name="Normal 4 4 6 2 2 3" xfId="15804" xr:uid="{65B627C6-2BF5-4DCD-8738-489E3355D94F}"/>
    <cellStyle name="Normal 4 4 6 2 3" xfId="20027" xr:uid="{5B1B017B-CC80-408F-865D-F9B6B92097C7}"/>
    <cellStyle name="Normal 4 4 6 2 4" xfId="11585" xr:uid="{0E253FAF-4FBC-4535-92AE-465B7B877F5B}"/>
    <cellStyle name="Normal 4 4 6 3" xfId="5165" xr:uid="{00000000-0005-0000-0000-0000F3150000}"/>
    <cellStyle name="Normal 4 4 6 3 2" xfId="22100" xr:uid="{0782FBD3-1435-41B5-807A-489F2B1C4CC6}"/>
    <cellStyle name="Normal 4 4 6 3 3" xfId="13659" xr:uid="{4440C8CE-EBA3-4498-96FB-73F7336BE58D}"/>
    <cellStyle name="Normal 4 4 6 4" xfId="17882" xr:uid="{2C3817DF-5415-499B-A520-6B5FE46FDCB9}"/>
    <cellStyle name="Normal 4 4 6 5" xfId="9408" xr:uid="{85FBC3DF-5908-40F8-B192-D4EC0DB87255}"/>
    <cellStyle name="Normal 4 4 7" xfId="1271" xr:uid="{00000000-0005-0000-0000-0000F4150000}"/>
    <cellStyle name="Normal 4 4 7 2" xfId="3501" xr:uid="{00000000-0005-0000-0000-0000F5150000}"/>
    <cellStyle name="Normal 4 4 7 2 2" xfId="7723" xr:uid="{00000000-0005-0000-0000-0000F6150000}"/>
    <cellStyle name="Normal 4 4 7 2 2 2" xfId="24658" xr:uid="{A657A226-6C02-4FDD-A9CF-9E9C2174FD61}"/>
    <cellStyle name="Normal 4 4 7 2 2 3" xfId="16217" xr:uid="{56D5C2B6-0D6E-4CD3-A5C9-69F18AD85532}"/>
    <cellStyle name="Normal 4 4 7 2 3" xfId="20440" xr:uid="{D1D7DDA7-834E-4888-9DBF-1ABAC1131893}"/>
    <cellStyle name="Normal 4 4 7 2 4" xfId="11998" xr:uid="{DE115134-BCB6-46BD-9592-2C29197D272B}"/>
    <cellStyle name="Normal 4 4 7 3" xfId="5578" xr:uid="{00000000-0005-0000-0000-0000F7150000}"/>
    <cellStyle name="Normal 4 4 7 3 2" xfId="22513" xr:uid="{8D639303-23B0-4425-9B38-FF84FE1F9CB8}"/>
    <cellStyle name="Normal 4 4 7 3 3" xfId="14072" xr:uid="{ECFAFBA9-6F74-4F5B-B539-09C50ECA1117}"/>
    <cellStyle name="Normal 4 4 7 4" xfId="18295" xr:uid="{7D0C46A8-0CC7-4120-A7DE-84B13461DE6D}"/>
    <cellStyle name="Normal 4 4 7 5" xfId="9821" xr:uid="{005E2D8C-0CBB-427D-978E-20588D9DBF73}"/>
    <cellStyle name="Normal 4 4 8" xfId="1684" xr:uid="{00000000-0005-0000-0000-0000F8150000}"/>
    <cellStyle name="Normal 4 4 8 2" xfId="3914" xr:uid="{00000000-0005-0000-0000-0000F9150000}"/>
    <cellStyle name="Normal 4 4 8 2 2" xfId="8136" xr:uid="{00000000-0005-0000-0000-0000FA150000}"/>
    <cellStyle name="Normal 4 4 8 2 2 2" xfId="25071" xr:uid="{91720B5D-1FAF-4EDF-8A4C-EBEA7528EA6C}"/>
    <cellStyle name="Normal 4 4 8 2 2 3" xfId="16630" xr:uid="{9FF7D93E-D135-4CE5-99EE-6675C5C72A07}"/>
    <cellStyle name="Normal 4 4 8 2 3" xfId="20853" xr:uid="{BF67644C-2AF8-426F-B7A8-FB70F7649ECE}"/>
    <cellStyle name="Normal 4 4 8 2 4" xfId="12411" xr:uid="{E5356F0B-CB7B-490A-B741-CBF1A9C00A8E}"/>
    <cellStyle name="Normal 4 4 8 3" xfId="5991" xr:uid="{00000000-0005-0000-0000-0000FB150000}"/>
    <cellStyle name="Normal 4 4 8 3 2" xfId="22926" xr:uid="{3C9B717F-DE24-43FE-A13E-B94CFC0B7F56}"/>
    <cellStyle name="Normal 4 4 8 3 3" xfId="14485" xr:uid="{3C9678B5-FD54-45F2-B494-616EE23A90BE}"/>
    <cellStyle name="Normal 4 4 8 4" xfId="18708" xr:uid="{4C6EC35D-6493-4346-82E1-EAD1029B3F9E}"/>
    <cellStyle name="Normal 4 4 8 5" xfId="10234" xr:uid="{465908F1-6E64-4ACC-AFA0-C0A90D22CD80}"/>
    <cellStyle name="Normal 4 4 9" xfId="2098" xr:uid="{00000000-0005-0000-0000-0000FC150000}"/>
    <cellStyle name="Normal 4 4 9 2" xfId="4327" xr:uid="{00000000-0005-0000-0000-0000FD150000}"/>
    <cellStyle name="Normal 4 4 9 2 2" xfId="8549" xr:uid="{00000000-0005-0000-0000-0000FE150000}"/>
    <cellStyle name="Normal 4 4 9 2 2 2" xfId="25484" xr:uid="{A9C14D15-CE99-47E8-8EBA-C6D6EE8F294E}"/>
    <cellStyle name="Normal 4 4 9 2 2 3" xfId="17043" xr:uid="{9448755D-F40B-41DA-AFCF-8DC09C228D85}"/>
    <cellStyle name="Normal 4 4 9 2 3" xfId="21266" xr:uid="{92E972DD-A23A-4F6F-B0BE-2E8E68571F99}"/>
    <cellStyle name="Normal 4 4 9 2 4" xfId="12824" xr:uid="{34EFBBF5-4F02-43C3-922F-68C4CCADE994}"/>
    <cellStyle name="Normal 4 4 9 3" xfId="6404" xr:uid="{00000000-0005-0000-0000-0000FF150000}"/>
    <cellStyle name="Normal 4 4 9 3 2" xfId="23339" xr:uid="{FAD15C4F-342D-4158-B3EB-D904438A8121}"/>
    <cellStyle name="Normal 4 4 9 3 3" xfId="14898" xr:uid="{D241AB56-6BC3-4D5C-A8C6-3EF9EDEA56B5}"/>
    <cellStyle name="Normal 4 4 9 4" xfId="19121" xr:uid="{57E164E0-3B27-4C53-BC1C-11D6173C43D3}"/>
    <cellStyle name="Normal 4 4 9 5" xfId="10647" xr:uid="{8CBAD477-D202-46BE-8611-3FD35D97D22D}"/>
    <cellStyle name="Normal 4 5" xfId="394" xr:uid="{00000000-0005-0000-0000-000000160000}"/>
    <cellStyle name="Normal 4 6" xfId="395" xr:uid="{00000000-0005-0000-0000-000001160000}"/>
    <cellStyle name="Normal 4 6 10" xfId="4768" xr:uid="{00000000-0005-0000-0000-000002160000}"/>
    <cellStyle name="Normal 4 6 10 2" xfId="21703" xr:uid="{961D84BB-5B0D-40C1-9ED3-788FE8FEBE0D}"/>
    <cellStyle name="Normal 4 6 10 3" xfId="13262" xr:uid="{72DE23D1-9CBB-4CF7-BAC5-4668F3B4D670}"/>
    <cellStyle name="Normal 4 6 11" xfId="17485" xr:uid="{FE688A51-FD7E-489F-8DA1-436E7D4A91F0}"/>
    <cellStyle name="Normal 4 6 12" xfId="9010" xr:uid="{F0C693A7-3DE5-4A67-B353-FBCCF47493F1}"/>
    <cellStyle name="Normal 4 6 2" xfId="396" xr:uid="{00000000-0005-0000-0000-000003160000}"/>
    <cellStyle name="Normal 4 6 2 10" xfId="17486" xr:uid="{BB2AB12A-8954-4AFF-B564-05FCFDAEC3D3}"/>
    <cellStyle name="Normal 4 6 2 11" xfId="9011" xr:uid="{461F253F-C671-40F7-83F0-1F68C748243D}"/>
    <cellStyle name="Normal 4 6 2 2" xfId="397" xr:uid="{00000000-0005-0000-0000-000004160000}"/>
    <cellStyle name="Normal 4 6 2 2 10" xfId="9012" xr:uid="{A02F229E-078E-4830-A061-B51A218D202D}"/>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4264" xr:uid="{C1EA3CFA-EEB3-4406-B1E0-0AA68B86FF60}"/>
    <cellStyle name="Normal 4 6 2 2 2 2 2 2 3" xfId="15823" xr:uid="{62AC8245-1FF7-4390-AF06-9106B0ED1166}"/>
    <cellStyle name="Normal 4 6 2 2 2 2 2 3" xfId="20046" xr:uid="{5CE3B9E7-D795-4960-9CA3-B7867EA309CF}"/>
    <cellStyle name="Normal 4 6 2 2 2 2 2 4" xfId="11604" xr:uid="{6C3E19CB-5546-4A04-BADE-6C913D80F0BF}"/>
    <cellStyle name="Normal 4 6 2 2 2 2 3" xfId="5184" xr:uid="{00000000-0005-0000-0000-000009160000}"/>
    <cellStyle name="Normal 4 6 2 2 2 2 3 2" xfId="22119" xr:uid="{6A186340-45BD-4D9A-93E0-A4001FDBF2EB}"/>
    <cellStyle name="Normal 4 6 2 2 2 2 3 3" xfId="13678" xr:uid="{D57FF451-67D8-45AC-A76B-92914BEB3C88}"/>
    <cellStyle name="Normal 4 6 2 2 2 2 4" xfId="17901" xr:uid="{84F8F88E-93B5-477B-9B98-70FDC8358240}"/>
    <cellStyle name="Normal 4 6 2 2 2 2 5" xfId="9427" xr:uid="{46165FB0-D388-46A4-8439-09D4C13D63C2}"/>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4677" xr:uid="{F0BE2807-D43C-4046-AC8D-B4F360CBC613}"/>
    <cellStyle name="Normal 4 6 2 2 2 3 2 2 3" xfId="16236" xr:uid="{CE49C7B0-C155-4C25-B3E3-44531106E9A6}"/>
    <cellStyle name="Normal 4 6 2 2 2 3 2 3" xfId="20459" xr:uid="{E2A9E00B-E35B-4063-8808-7028B3F40203}"/>
    <cellStyle name="Normal 4 6 2 2 2 3 2 4" xfId="12017" xr:uid="{846CB1BF-837C-4AA4-B109-C4D4CA6E3DDB}"/>
    <cellStyle name="Normal 4 6 2 2 2 3 3" xfId="5597" xr:uid="{00000000-0005-0000-0000-00000D160000}"/>
    <cellStyle name="Normal 4 6 2 2 2 3 3 2" xfId="22532" xr:uid="{6189A23A-7FEE-4B3B-A6E2-28F0480AEC17}"/>
    <cellStyle name="Normal 4 6 2 2 2 3 3 3" xfId="14091" xr:uid="{8B121E31-1722-4B92-BFC7-059DD467F522}"/>
    <cellStyle name="Normal 4 6 2 2 2 3 4" xfId="18314" xr:uid="{4904AD20-4EBE-4649-8A65-7408DE424D29}"/>
    <cellStyle name="Normal 4 6 2 2 2 3 5" xfId="9840" xr:uid="{9CA45E9B-3A4C-4C2C-A5AE-B027259CF73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090" xr:uid="{8D0EF92C-1A80-4885-80EE-95D21C2164D2}"/>
    <cellStyle name="Normal 4 6 2 2 2 4 2 2 3" xfId="16649" xr:uid="{6740202E-3FC6-43CE-887D-CD69E9B3B513}"/>
    <cellStyle name="Normal 4 6 2 2 2 4 2 3" xfId="20872" xr:uid="{D54B642D-8F8E-47E5-955A-BC2F8FC3F008}"/>
    <cellStyle name="Normal 4 6 2 2 2 4 2 4" xfId="12430" xr:uid="{028E270D-CBB1-4A7D-AF76-4118C538A523}"/>
    <cellStyle name="Normal 4 6 2 2 2 4 3" xfId="6010" xr:uid="{00000000-0005-0000-0000-000011160000}"/>
    <cellStyle name="Normal 4 6 2 2 2 4 3 2" xfId="22945" xr:uid="{1D542CA4-06A7-49FC-A144-585DFB42D42C}"/>
    <cellStyle name="Normal 4 6 2 2 2 4 3 3" xfId="14504" xr:uid="{D345C0A0-72DD-4D21-8D09-43D1C353C152}"/>
    <cellStyle name="Normal 4 6 2 2 2 4 4" xfId="18727" xr:uid="{23282C83-DE47-42C6-AEAF-500468242FC7}"/>
    <cellStyle name="Normal 4 6 2 2 2 4 5" xfId="10253" xr:uid="{996D20E2-2C87-4EA7-8D80-0D9524CA6F4E}"/>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5503" xr:uid="{99207B69-C6A3-4FBE-A2E0-6D0BC3233471}"/>
    <cellStyle name="Normal 4 6 2 2 2 5 2 2 3" xfId="17062" xr:uid="{0863C324-74D0-491A-8EAD-BACF708326CB}"/>
    <cellStyle name="Normal 4 6 2 2 2 5 2 3" xfId="21285" xr:uid="{834FFF80-00C9-4282-B05E-BFDBE3A8F0A3}"/>
    <cellStyle name="Normal 4 6 2 2 2 5 2 4" xfId="12843" xr:uid="{F9E32EE8-8354-44F0-8362-E884A42AAC69}"/>
    <cellStyle name="Normal 4 6 2 2 2 5 3" xfId="6423" xr:uid="{00000000-0005-0000-0000-000015160000}"/>
    <cellStyle name="Normal 4 6 2 2 2 5 3 2" xfId="23358" xr:uid="{91342882-A941-4F21-B34B-4E91088E3BFE}"/>
    <cellStyle name="Normal 4 6 2 2 2 5 3 3" xfId="14917" xr:uid="{2A6E385B-8A2F-4E09-957E-7FE92D4FAB71}"/>
    <cellStyle name="Normal 4 6 2 2 2 5 4" xfId="19140" xr:uid="{F1EDB9B4-3B4D-4660-A14A-43AF7E082A74}"/>
    <cellStyle name="Normal 4 6 2 2 2 5 5" xfId="10666" xr:uid="{DF05C10D-1C8A-4113-BC31-12DFAEA7C1D9}"/>
    <cellStyle name="Normal 4 6 2 2 2 6" xfId="2553" xr:uid="{00000000-0005-0000-0000-000016160000}"/>
    <cellStyle name="Normal 4 6 2 2 2 6 2" xfId="6836" xr:uid="{00000000-0005-0000-0000-000017160000}"/>
    <cellStyle name="Normal 4 6 2 2 2 6 2 2" xfId="23771" xr:uid="{DA37DD29-E55B-4183-8D58-84B0C6BA9427}"/>
    <cellStyle name="Normal 4 6 2 2 2 6 2 3" xfId="15330" xr:uid="{49F70514-1BE1-4B51-A39E-B5B1C7D0A2C6}"/>
    <cellStyle name="Normal 4 6 2 2 2 6 3" xfId="19553" xr:uid="{D1C6EF10-B9E3-4299-9E1D-FF6EE9BF89A1}"/>
    <cellStyle name="Normal 4 6 2 2 2 6 4" xfId="11101" xr:uid="{C415E793-6F54-4A95-B38A-5D01A754F704}"/>
    <cellStyle name="Normal 4 6 2 2 2 7" xfId="4771" xr:uid="{00000000-0005-0000-0000-000018160000}"/>
    <cellStyle name="Normal 4 6 2 2 2 7 2" xfId="21706" xr:uid="{FB7AB2FE-9D25-4263-A650-FE11B8CEFF6B}"/>
    <cellStyle name="Normal 4 6 2 2 2 7 3" xfId="13265" xr:uid="{AF1CC9A3-31F2-4A91-A622-547078FB87FF}"/>
    <cellStyle name="Normal 4 6 2 2 2 8" xfId="17488" xr:uid="{AA872BCF-1A8A-407B-A8B2-64B029E6C3D4}"/>
    <cellStyle name="Normal 4 6 2 2 2 9" xfId="9013" xr:uid="{12BD7A38-1438-4EC5-B6F1-86347A41BD6A}"/>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4263" xr:uid="{D2E20DA5-B96F-4A1F-83C6-1D3F27C1C0EE}"/>
    <cellStyle name="Normal 4 6 2 2 3 2 2 3" xfId="15822" xr:uid="{79746B53-88B0-481A-B07C-DCE3A2FEC2C2}"/>
    <cellStyle name="Normal 4 6 2 2 3 2 3" xfId="20045" xr:uid="{745B6963-8133-4BEC-83C8-0DC75DCFA2B4}"/>
    <cellStyle name="Normal 4 6 2 2 3 2 4" xfId="11603" xr:uid="{8DC8FC76-23ED-48FC-A6AE-3A9E3D943000}"/>
    <cellStyle name="Normal 4 6 2 2 3 3" xfId="5183" xr:uid="{00000000-0005-0000-0000-00001C160000}"/>
    <cellStyle name="Normal 4 6 2 2 3 3 2" xfId="22118" xr:uid="{68C06226-062C-48D1-856D-03654E202B92}"/>
    <cellStyle name="Normal 4 6 2 2 3 3 3" xfId="13677" xr:uid="{1CD34E94-BA13-4502-9EB8-9400EA21899D}"/>
    <cellStyle name="Normal 4 6 2 2 3 4" xfId="17900" xr:uid="{6703811F-B4C8-4573-8C81-29C8B0193C66}"/>
    <cellStyle name="Normal 4 6 2 2 3 5" xfId="9426" xr:uid="{63EA0EB1-986E-4766-B055-742094A90260}"/>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4676" xr:uid="{43C5F77E-271F-4062-9218-CD80B8D6D7FF}"/>
    <cellStyle name="Normal 4 6 2 2 4 2 2 3" xfId="16235" xr:uid="{7742CC19-85E6-4FE5-8ED5-B1BCBC248D03}"/>
    <cellStyle name="Normal 4 6 2 2 4 2 3" xfId="20458" xr:uid="{B745DB40-A88A-4E41-9695-5196516037B4}"/>
    <cellStyle name="Normal 4 6 2 2 4 2 4" xfId="12016" xr:uid="{93209306-A902-4D40-9F64-0C93F9D1A210}"/>
    <cellStyle name="Normal 4 6 2 2 4 3" xfId="5596" xr:uid="{00000000-0005-0000-0000-000020160000}"/>
    <cellStyle name="Normal 4 6 2 2 4 3 2" xfId="22531" xr:uid="{98DC4B4C-AA64-4877-BC67-F4E236C25273}"/>
    <cellStyle name="Normal 4 6 2 2 4 3 3" xfId="14090" xr:uid="{B23C8B0F-4AC7-4E5E-9024-AA2B786BC243}"/>
    <cellStyle name="Normal 4 6 2 2 4 4" xfId="18313" xr:uid="{4D13A03F-C4E4-4550-9AD3-CA20DD24A49A}"/>
    <cellStyle name="Normal 4 6 2 2 4 5" xfId="9839" xr:uid="{06753D97-A1B8-47ED-A600-B2407E377F7C}"/>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089" xr:uid="{DF64AA42-D81B-4B66-96B8-E12A65409F50}"/>
    <cellStyle name="Normal 4 6 2 2 5 2 2 3" xfId="16648" xr:uid="{5F451A98-485B-42F0-BB8A-CA511F2F37B2}"/>
    <cellStyle name="Normal 4 6 2 2 5 2 3" xfId="20871" xr:uid="{165D38A1-2C8F-47DD-AE5D-44CB2F590CCD}"/>
    <cellStyle name="Normal 4 6 2 2 5 2 4" xfId="12429" xr:uid="{6A680491-DE2E-4417-93C9-C0F5B9E11015}"/>
    <cellStyle name="Normal 4 6 2 2 5 3" xfId="6009" xr:uid="{00000000-0005-0000-0000-000024160000}"/>
    <cellStyle name="Normal 4 6 2 2 5 3 2" xfId="22944" xr:uid="{59F7824B-9A43-49EE-974D-11AC1D205FE9}"/>
    <cellStyle name="Normal 4 6 2 2 5 3 3" xfId="14503" xr:uid="{CB56AF8A-3180-4925-84D9-FCE39C3039AA}"/>
    <cellStyle name="Normal 4 6 2 2 5 4" xfId="18726" xr:uid="{90CFD813-93F8-45CF-8179-FDF04E0550E6}"/>
    <cellStyle name="Normal 4 6 2 2 5 5" xfId="10252" xr:uid="{56E7BAC8-D6CC-4CF9-87FE-7FE0AF5A216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5502" xr:uid="{CA2552F6-9801-4552-8D4F-7789E304367A}"/>
    <cellStyle name="Normal 4 6 2 2 6 2 2 3" xfId="17061" xr:uid="{6A186259-CAED-4083-A8A4-A1607CFC6569}"/>
    <cellStyle name="Normal 4 6 2 2 6 2 3" xfId="21284" xr:uid="{990811F7-9434-46EC-B025-F618C7C40717}"/>
    <cellStyle name="Normal 4 6 2 2 6 2 4" xfId="12842" xr:uid="{29A94CB9-8E67-4E02-A71A-0A9C3E191A64}"/>
    <cellStyle name="Normal 4 6 2 2 6 3" xfId="6422" xr:uid="{00000000-0005-0000-0000-000028160000}"/>
    <cellStyle name="Normal 4 6 2 2 6 3 2" xfId="23357" xr:uid="{6711F4F7-8BF7-4212-B391-B2F45B08754F}"/>
    <cellStyle name="Normal 4 6 2 2 6 3 3" xfId="14916" xr:uid="{49255750-695D-4188-9FEF-278F864495C7}"/>
    <cellStyle name="Normal 4 6 2 2 6 4" xfId="19139" xr:uid="{5D108F15-11BD-4A09-AD12-65B23E3EC2CD}"/>
    <cellStyle name="Normal 4 6 2 2 6 5" xfId="10665" xr:uid="{29C16058-1EBF-4576-83A9-D8D569D23CC0}"/>
    <cellStyle name="Normal 4 6 2 2 7" xfId="2552" xr:uid="{00000000-0005-0000-0000-000029160000}"/>
    <cellStyle name="Normal 4 6 2 2 7 2" xfId="6835" xr:uid="{00000000-0005-0000-0000-00002A160000}"/>
    <cellStyle name="Normal 4 6 2 2 7 2 2" xfId="23770" xr:uid="{B3BD6FFB-5486-4C5C-B05F-F0D7E8902351}"/>
    <cellStyle name="Normal 4 6 2 2 7 2 3" xfId="15329" xr:uid="{4601E3E2-98B4-4916-8049-3EB486933F3D}"/>
    <cellStyle name="Normal 4 6 2 2 7 3" xfId="19552" xr:uid="{A9EEE6E7-116F-473C-9725-E0A5FE5A5FF1}"/>
    <cellStyle name="Normal 4 6 2 2 7 4" xfId="11100" xr:uid="{C7AE4663-F8F6-43EC-A539-3D84DA122130}"/>
    <cellStyle name="Normal 4 6 2 2 8" xfId="4770" xr:uid="{00000000-0005-0000-0000-00002B160000}"/>
    <cellStyle name="Normal 4 6 2 2 8 2" xfId="21705" xr:uid="{632B12C2-97D1-4C72-AAE3-E39A15D1BC5C}"/>
    <cellStyle name="Normal 4 6 2 2 8 3" xfId="13264" xr:uid="{4E314012-3FDA-448D-AA7C-B9B2C5B3DA8A}"/>
    <cellStyle name="Normal 4 6 2 2 9" xfId="17487" xr:uid="{04D2C8A0-CDF6-4034-AD84-4621864A7392}"/>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4265" xr:uid="{852D7A55-4BF9-4D7F-892E-6B87EB41AA8D}"/>
    <cellStyle name="Normal 4 6 2 3 2 2 2 3" xfId="15824" xr:uid="{A9CF524E-5849-42A0-A890-17E9E0254767}"/>
    <cellStyle name="Normal 4 6 2 3 2 2 3" xfId="20047" xr:uid="{6735EC9A-6050-40BF-B563-F5B06C57A44A}"/>
    <cellStyle name="Normal 4 6 2 3 2 2 4" xfId="11605" xr:uid="{F1751C1E-8D37-41C8-B4CC-EE499910A633}"/>
    <cellStyle name="Normal 4 6 2 3 2 3" xfId="5185" xr:uid="{00000000-0005-0000-0000-000030160000}"/>
    <cellStyle name="Normal 4 6 2 3 2 3 2" xfId="22120" xr:uid="{5C664339-F7D8-4DBF-8016-E31C151B2737}"/>
    <cellStyle name="Normal 4 6 2 3 2 3 3" xfId="13679" xr:uid="{D1913A59-A119-468E-8FB8-14D8DC468BE9}"/>
    <cellStyle name="Normal 4 6 2 3 2 4" xfId="17902" xr:uid="{399C0D68-4285-4E9F-96A6-7736D5D7A35B}"/>
    <cellStyle name="Normal 4 6 2 3 2 5" xfId="9428" xr:uid="{8CFDDAF5-2D56-4022-99E4-54340A1CA01C}"/>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4678" xr:uid="{9418B92D-6407-4981-96CC-2EDEA11D3F21}"/>
    <cellStyle name="Normal 4 6 2 3 3 2 2 3" xfId="16237" xr:uid="{BE2D4B72-9A62-47C3-8DD2-4BEF17C700F1}"/>
    <cellStyle name="Normal 4 6 2 3 3 2 3" xfId="20460" xr:uid="{99064A70-DD88-4CF2-AA12-5E44A6C5B9D3}"/>
    <cellStyle name="Normal 4 6 2 3 3 2 4" xfId="12018" xr:uid="{E00538B8-8839-4915-9773-6AE864F39F90}"/>
    <cellStyle name="Normal 4 6 2 3 3 3" xfId="5598" xr:uid="{00000000-0005-0000-0000-000034160000}"/>
    <cellStyle name="Normal 4 6 2 3 3 3 2" xfId="22533" xr:uid="{9696B9F4-ADCA-4BB1-A8BE-34BE71BB338E}"/>
    <cellStyle name="Normal 4 6 2 3 3 3 3" xfId="14092" xr:uid="{84A6E256-A74E-492A-96F4-0CD15E2A056A}"/>
    <cellStyle name="Normal 4 6 2 3 3 4" xfId="18315" xr:uid="{99142DFF-4999-4ED0-9121-7240E22EDD72}"/>
    <cellStyle name="Normal 4 6 2 3 3 5" xfId="9841" xr:uid="{42327554-81EE-48EB-BCCA-3E75297B2EE3}"/>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091" xr:uid="{AF5A81D5-C449-46C1-941E-245907290AE2}"/>
    <cellStyle name="Normal 4 6 2 3 4 2 2 3" xfId="16650" xr:uid="{A488C04D-5C6C-4448-A5C7-318B020C14EC}"/>
    <cellStyle name="Normal 4 6 2 3 4 2 3" xfId="20873" xr:uid="{82E199F9-5ED2-4B23-804F-313726E1EC24}"/>
    <cellStyle name="Normal 4 6 2 3 4 2 4" xfId="12431" xr:uid="{5F6E67B0-F7F3-4362-9AAA-A46319BC180A}"/>
    <cellStyle name="Normal 4 6 2 3 4 3" xfId="6011" xr:uid="{00000000-0005-0000-0000-000038160000}"/>
    <cellStyle name="Normal 4 6 2 3 4 3 2" xfId="22946" xr:uid="{C596326F-88CC-44D8-8CA4-F0E0230CF7FC}"/>
    <cellStyle name="Normal 4 6 2 3 4 3 3" xfId="14505" xr:uid="{CA252A44-7C56-46B2-BC30-F9B395552BAC}"/>
    <cellStyle name="Normal 4 6 2 3 4 4" xfId="18728" xr:uid="{AB4829AE-8FF4-4325-A92A-1DAE957EAEC2}"/>
    <cellStyle name="Normal 4 6 2 3 4 5" xfId="10254" xr:uid="{5429A69D-3EB6-4BD8-A63C-F71190AC2E7E}"/>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5504" xr:uid="{8A651057-DE6F-4A37-B607-0F05F355B595}"/>
    <cellStyle name="Normal 4 6 2 3 5 2 2 3" xfId="17063" xr:uid="{75F83BEE-5E9F-4D89-8820-8A197B38A839}"/>
    <cellStyle name="Normal 4 6 2 3 5 2 3" xfId="21286" xr:uid="{63C4E021-6B71-4474-8505-07921076E2B1}"/>
    <cellStyle name="Normal 4 6 2 3 5 2 4" xfId="12844" xr:uid="{73093F3C-BC89-486A-BCA2-A85502E4C1E3}"/>
    <cellStyle name="Normal 4 6 2 3 5 3" xfId="6424" xr:uid="{00000000-0005-0000-0000-00003C160000}"/>
    <cellStyle name="Normal 4 6 2 3 5 3 2" xfId="23359" xr:uid="{D54AADCF-CCC8-490B-B811-D744AB21C0EA}"/>
    <cellStyle name="Normal 4 6 2 3 5 3 3" xfId="14918" xr:uid="{80F9106C-B370-46BB-A53B-4C510557F2CA}"/>
    <cellStyle name="Normal 4 6 2 3 5 4" xfId="19141" xr:uid="{43CA1A9A-0BB0-4C48-ABE8-6CE1B79B307E}"/>
    <cellStyle name="Normal 4 6 2 3 5 5" xfId="10667" xr:uid="{13D0FB6A-8033-4CCD-886F-5DAA0634AE44}"/>
    <cellStyle name="Normal 4 6 2 3 6" xfId="2554" xr:uid="{00000000-0005-0000-0000-00003D160000}"/>
    <cellStyle name="Normal 4 6 2 3 6 2" xfId="6837" xr:uid="{00000000-0005-0000-0000-00003E160000}"/>
    <cellStyle name="Normal 4 6 2 3 6 2 2" xfId="23772" xr:uid="{E8A890AC-32EB-46A0-BCE1-1A9761C409C0}"/>
    <cellStyle name="Normal 4 6 2 3 6 2 3" xfId="15331" xr:uid="{DBF1C858-D2F5-4F26-96BC-9EE9C6014464}"/>
    <cellStyle name="Normal 4 6 2 3 6 3" xfId="19554" xr:uid="{12FDFC4F-05AB-4337-8B2C-0EAA17570DFA}"/>
    <cellStyle name="Normal 4 6 2 3 6 4" xfId="11102" xr:uid="{44A7C382-4CEF-4656-A373-80ABDD5B2C34}"/>
    <cellStyle name="Normal 4 6 2 3 7" xfId="4772" xr:uid="{00000000-0005-0000-0000-00003F160000}"/>
    <cellStyle name="Normal 4 6 2 3 7 2" xfId="21707" xr:uid="{C513A74C-0A7B-4BAF-B012-B18458196C72}"/>
    <cellStyle name="Normal 4 6 2 3 7 3" xfId="13266" xr:uid="{D4C67625-B364-47D4-AAC4-14944B71A79F}"/>
    <cellStyle name="Normal 4 6 2 3 8" xfId="17489" xr:uid="{E28E168D-3439-4DF4-9D8B-FCD8C4FBD9B1}"/>
    <cellStyle name="Normal 4 6 2 3 9" xfId="9014" xr:uid="{A6376EA4-AC59-4AB0-B99B-AED594FD8EDB}"/>
    <cellStyle name="Normal 4 6 2 4" xfId="870" xr:uid="{00000000-0005-0000-0000-000040160000}"/>
    <cellStyle name="Normal 4 6 2 4 2" xfId="3105" xr:uid="{00000000-0005-0000-0000-000041160000}"/>
    <cellStyle name="Normal 4 6 2 4 2 2" xfId="7327" xr:uid="{00000000-0005-0000-0000-000042160000}"/>
    <cellStyle name="Normal 4 6 2 4 2 2 2" xfId="24262" xr:uid="{1131CB46-2421-4493-916E-54C8F306F6F7}"/>
    <cellStyle name="Normal 4 6 2 4 2 2 3" xfId="15821" xr:uid="{3F11A07E-1CF7-411E-A1F2-E62F13CEA4EA}"/>
    <cellStyle name="Normal 4 6 2 4 2 3" xfId="20044" xr:uid="{CE82A084-CDB9-4E5C-89EF-17FA8F355DEA}"/>
    <cellStyle name="Normal 4 6 2 4 2 4" xfId="11602" xr:uid="{512AB438-7D7F-4FC5-9016-C7BEFB201B23}"/>
    <cellStyle name="Normal 4 6 2 4 3" xfId="5182" xr:uid="{00000000-0005-0000-0000-000043160000}"/>
    <cellStyle name="Normal 4 6 2 4 3 2" xfId="22117" xr:uid="{25629F98-1330-4C9E-A07F-9A1295EEE436}"/>
    <cellStyle name="Normal 4 6 2 4 3 3" xfId="13676" xr:uid="{F4BBED39-069B-4142-BCC2-92EAD05B96C1}"/>
    <cellStyle name="Normal 4 6 2 4 4" xfId="17899" xr:uid="{382C467F-1FE5-403B-9A4E-E38B2DB81049}"/>
    <cellStyle name="Normal 4 6 2 4 5" xfId="9425" xr:uid="{C180154B-6D2D-4776-AB63-16CF929DE959}"/>
    <cellStyle name="Normal 4 6 2 5" xfId="1288" xr:uid="{00000000-0005-0000-0000-000044160000}"/>
    <cellStyle name="Normal 4 6 2 5 2" xfId="3518" xr:uid="{00000000-0005-0000-0000-000045160000}"/>
    <cellStyle name="Normal 4 6 2 5 2 2" xfId="7740" xr:uid="{00000000-0005-0000-0000-000046160000}"/>
    <cellStyle name="Normal 4 6 2 5 2 2 2" xfId="24675" xr:uid="{2E14EF4F-4E8A-4ABC-A4A2-58D2A0BAF2DD}"/>
    <cellStyle name="Normal 4 6 2 5 2 2 3" xfId="16234" xr:uid="{30CFD240-A8C8-4559-8248-A849C5CE8EC5}"/>
    <cellStyle name="Normal 4 6 2 5 2 3" xfId="20457" xr:uid="{84E242FA-3169-4B54-91E3-B9273F57AD3B}"/>
    <cellStyle name="Normal 4 6 2 5 2 4" xfId="12015" xr:uid="{F3B7D752-6878-462E-84D7-9DC79A929CBE}"/>
    <cellStyle name="Normal 4 6 2 5 3" xfId="5595" xr:uid="{00000000-0005-0000-0000-000047160000}"/>
    <cellStyle name="Normal 4 6 2 5 3 2" xfId="22530" xr:uid="{BCADFEAD-A789-4481-85BF-D30BC813339A}"/>
    <cellStyle name="Normal 4 6 2 5 3 3" xfId="14089" xr:uid="{5936A5FD-01F0-4357-A735-731CF97C511E}"/>
    <cellStyle name="Normal 4 6 2 5 4" xfId="18312" xr:uid="{17F4D7D0-E611-413F-BCA8-8A4155F98377}"/>
    <cellStyle name="Normal 4 6 2 5 5" xfId="9838" xr:uid="{F63F64F2-6ACF-45A8-9931-DFEF689B3E79}"/>
    <cellStyle name="Normal 4 6 2 6" xfId="1701" xr:uid="{00000000-0005-0000-0000-000048160000}"/>
    <cellStyle name="Normal 4 6 2 6 2" xfId="3931" xr:uid="{00000000-0005-0000-0000-000049160000}"/>
    <cellStyle name="Normal 4 6 2 6 2 2" xfId="8153" xr:uid="{00000000-0005-0000-0000-00004A160000}"/>
    <cellStyle name="Normal 4 6 2 6 2 2 2" xfId="25088" xr:uid="{54DBEDDC-22B9-478B-A385-8CA1304C8125}"/>
    <cellStyle name="Normal 4 6 2 6 2 2 3" xfId="16647" xr:uid="{297864F1-08EE-478F-910F-65AD62C8692B}"/>
    <cellStyle name="Normal 4 6 2 6 2 3" xfId="20870" xr:uid="{82CEB7E4-38B1-4F28-AB1C-1B6F2FE7B4BF}"/>
    <cellStyle name="Normal 4 6 2 6 2 4" xfId="12428" xr:uid="{F2F2241F-C22A-4251-84CD-8D7EF7CFBD58}"/>
    <cellStyle name="Normal 4 6 2 6 3" xfId="6008" xr:uid="{00000000-0005-0000-0000-00004B160000}"/>
    <cellStyle name="Normal 4 6 2 6 3 2" xfId="22943" xr:uid="{A58C56EF-52D4-46DC-907B-6AA5562589AB}"/>
    <cellStyle name="Normal 4 6 2 6 3 3" xfId="14502" xr:uid="{6F3D0A1B-3A39-4915-9E7A-35F9CED55548}"/>
    <cellStyle name="Normal 4 6 2 6 4" xfId="18725" xr:uid="{A5E16083-415C-40FF-903A-81D22148D1BE}"/>
    <cellStyle name="Normal 4 6 2 6 5" xfId="10251" xr:uid="{19EAF871-40AB-4A68-AEB6-D8EDE1191009}"/>
    <cellStyle name="Normal 4 6 2 7" xfId="2115" xr:uid="{00000000-0005-0000-0000-00004C160000}"/>
    <cellStyle name="Normal 4 6 2 7 2" xfId="4344" xr:uid="{00000000-0005-0000-0000-00004D160000}"/>
    <cellStyle name="Normal 4 6 2 7 2 2" xfId="8566" xr:uid="{00000000-0005-0000-0000-00004E160000}"/>
    <cellStyle name="Normal 4 6 2 7 2 2 2" xfId="25501" xr:uid="{6125823B-6D9E-4E6B-A31A-3EDB59EE533E}"/>
    <cellStyle name="Normal 4 6 2 7 2 2 3" xfId="17060" xr:uid="{63802E76-4658-47AA-ACF5-8ED0508BC1E0}"/>
    <cellStyle name="Normal 4 6 2 7 2 3" xfId="21283" xr:uid="{20051D8E-EEB2-45C3-ACC3-B91219242547}"/>
    <cellStyle name="Normal 4 6 2 7 2 4" xfId="12841" xr:uid="{6BAA9706-9C8A-4779-9EF1-D01A310F554D}"/>
    <cellStyle name="Normal 4 6 2 7 3" xfId="6421" xr:uid="{00000000-0005-0000-0000-00004F160000}"/>
    <cellStyle name="Normal 4 6 2 7 3 2" xfId="23356" xr:uid="{6370CE70-6C89-4AA2-926D-FAFB73E20BFE}"/>
    <cellStyle name="Normal 4 6 2 7 3 3" xfId="14915" xr:uid="{0EBF82E1-6834-4254-B56E-93A6E1064083}"/>
    <cellStyle name="Normal 4 6 2 7 4" xfId="19138" xr:uid="{EA2F02DF-B31E-4123-8889-EE03620C0171}"/>
    <cellStyle name="Normal 4 6 2 7 5" xfId="10664" xr:uid="{C7F7F9E3-5B65-49D7-8AA1-FFD1FEF77098}"/>
    <cellStyle name="Normal 4 6 2 8" xfId="2551" xr:uid="{00000000-0005-0000-0000-000050160000}"/>
    <cellStyle name="Normal 4 6 2 8 2" xfId="6834" xr:uid="{00000000-0005-0000-0000-000051160000}"/>
    <cellStyle name="Normal 4 6 2 8 2 2" xfId="23769" xr:uid="{AE4341A4-71AF-4587-B290-ACB8C020118E}"/>
    <cellStyle name="Normal 4 6 2 8 2 3" xfId="15328" xr:uid="{88F2370D-4023-461B-9FBD-BF8935431FEA}"/>
    <cellStyle name="Normal 4 6 2 8 3" xfId="19551" xr:uid="{F3B73BAB-A5E7-4EC8-8117-66A628FD1FD0}"/>
    <cellStyle name="Normal 4 6 2 8 4" xfId="11099" xr:uid="{948DF008-8776-4427-9D07-46968A79D256}"/>
    <cellStyle name="Normal 4 6 2 9" xfId="4769" xr:uid="{00000000-0005-0000-0000-000052160000}"/>
    <cellStyle name="Normal 4 6 2 9 2" xfId="21704" xr:uid="{8467047E-9CA0-4599-A5D8-CEF8B3813079}"/>
    <cellStyle name="Normal 4 6 2 9 3" xfId="13263" xr:uid="{57A9C8E0-B5DA-42E9-9324-AD25715AFD07}"/>
    <cellStyle name="Normal 4 6 3" xfId="400" xr:uid="{00000000-0005-0000-0000-000053160000}"/>
    <cellStyle name="Normal 4 6 3 10" xfId="9015" xr:uid="{229A5BFD-E42E-43C7-8645-8639835BDD75}"/>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4267" xr:uid="{A52CBD44-2D38-44F9-BA2F-3C91550F7D9E}"/>
    <cellStyle name="Normal 4 6 3 2 2 2 2 3" xfId="15826" xr:uid="{C4CDE549-C0D3-4C79-944D-8B16C68F6889}"/>
    <cellStyle name="Normal 4 6 3 2 2 2 3" xfId="20049" xr:uid="{47BB68EE-5589-4820-8253-F07427881C88}"/>
    <cellStyle name="Normal 4 6 3 2 2 2 4" xfId="11607" xr:uid="{778C00DF-B3A8-4987-BE92-F34FDBE05BCD}"/>
    <cellStyle name="Normal 4 6 3 2 2 3" xfId="5187" xr:uid="{00000000-0005-0000-0000-000058160000}"/>
    <cellStyle name="Normal 4 6 3 2 2 3 2" xfId="22122" xr:uid="{2F9F70B4-742A-49B9-B4A1-7282410D9AE5}"/>
    <cellStyle name="Normal 4 6 3 2 2 3 3" xfId="13681" xr:uid="{A4040467-99C5-4CEB-A224-39B3451C2257}"/>
    <cellStyle name="Normal 4 6 3 2 2 4" xfId="17904" xr:uid="{AE88F225-43E8-4776-B7A9-C5438604B14B}"/>
    <cellStyle name="Normal 4 6 3 2 2 5" xfId="9430" xr:uid="{58D54C77-D8DD-45D7-9171-23CB5DBEEEB3}"/>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4680" xr:uid="{90EF0EDB-D6A7-43E2-AC83-87ABD335D7FF}"/>
    <cellStyle name="Normal 4 6 3 2 3 2 2 3" xfId="16239" xr:uid="{577D4EAF-F59C-4016-932F-A626E49F7F36}"/>
    <cellStyle name="Normal 4 6 3 2 3 2 3" xfId="20462" xr:uid="{0134C86C-A82B-4D56-906E-6FA5681B6DC7}"/>
    <cellStyle name="Normal 4 6 3 2 3 2 4" xfId="12020" xr:uid="{00F52795-52F3-46BD-A091-6342D233A956}"/>
    <cellStyle name="Normal 4 6 3 2 3 3" xfId="5600" xr:uid="{00000000-0005-0000-0000-00005C160000}"/>
    <cellStyle name="Normal 4 6 3 2 3 3 2" xfId="22535" xr:uid="{CC1756D1-1144-4190-A07B-1D0F2BCB3866}"/>
    <cellStyle name="Normal 4 6 3 2 3 3 3" xfId="14094" xr:uid="{28EE3AA4-2AEA-47F7-A395-CC59F19C549A}"/>
    <cellStyle name="Normal 4 6 3 2 3 4" xfId="18317" xr:uid="{E5107DD3-C92C-459D-A645-1F831F9E3C85}"/>
    <cellStyle name="Normal 4 6 3 2 3 5" xfId="9843" xr:uid="{01F20275-5655-4742-86D0-60B90A7AECC4}"/>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093" xr:uid="{EDCFE956-5794-4A6A-B131-B087185AE198}"/>
    <cellStyle name="Normal 4 6 3 2 4 2 2 3" xfId="16652" xr:uid="{36B33E17-B163-4ACF-B3A2-04A69339900E}"/>
    <cellStyle name="Normal 4 6 3 2 4 2 3" xfId="20875" xr:uid="{001005A5-0A87-4A16-99EC-07ACE2F86765}"/>
    <cellStyle name="Normal 4 6 3 2 4 2 4" xfId="12433" xr:uid="{5A9A608D-9A01-4DE9-B68F-236617DD3E4C}"/>
    <cellStyle name="Normal 4 6 3 2 4 3" xfId="6013" xr:uid="{00000000-0005-0000-0000-000060160000}"/>
    <cellStyle name="Normal 4 6 3 2 4 3 2" xfId="22948" xr:uid="{85647FC5-2D37-4902-8958-8EF8CF62F7E8}"/>
    <cellStyle name="Normal 4 6 3 2 4 3 3" xfId="14507" xr:uid="{C8778DF8-EB35-4755-84FD-F717D7047667}"/>
    <cellStyle name="Normal 4 6 3 2 4 4" xfId="18730" xr:uid="{1E2B28DC-00EC-4ECA-8CD8-47E5C0D0ECEE}"/>
    <cellStyle name="Normal 4 6 3 2 4 5" xfId="10256" xr:uid="{142CEA9B-F09B-49B9-88A1-4D000EBEA88D}"/>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5506" xr:uid="{0B1E49F3-B265-447B-A396-1477EC45ABF0}"/>
    <cellStyle name="Normal 4 6 3 2 5 2 2 3" xfId="17065" xr:uid="{2215A13B-2898-4FE9-804B-55633E1F2406}"/>
    <cellStyle name="Normal 4 6 3 2 5 2 3" xfId="21288" xr:uid="{8C7450CF-FDC7-490E-A800-06CCD01417A0}"/>
    <cellStyle name="Normal 4 6 3 2 5 2 4" xfId="12846" xr:uid="{395792C9-C086-4664-B9F7-C833D3BB1933}"/>
    <cellStyle name="Normal 4 6 3 2 5 3" xfId="6426" xr:uid="{00000000-0005-0000-0000-000064160000}"/>
    <cellStyle name="Normal 4 6 3 2 5 3 2" xfId="23361" xr:uid="{BD19ACD0-239F-4A77-89D5-F83370F7F404}"/>
    <cellStyle name="Normal 4 6 3 2 5 3 3" xfId="14920" xr:uid="{009A4422-7DEB-4BEF-AB20-7615DD3D6BEF}"/>
    <cellStyle name="Normal 4 6 3 2 5 4" xfId="19143" xr:uid="{A2C98C05-5986-40FB-83AB-0F2FA6B1B7E9}"/>
    <cellStyle name="Normal 4 6 3 2 5 5" xfId="10669" xr:uid="{6270FC18-9B77-4074-9647-B6D3FF92317C}"/>
    <cellStyle name="Normal 4 6 3 2 6" xfId="2556" xr:uid="{00000000-0005-0000-0000-000065160000}"/>
    <cellStyle name="Normal 4 6 3 2 6 2" xfId="6839" xr:uid="{00000000-0005-0000-0000-000066160000}"/>
    <cellStyle name="Normal 4 6 3 2 6 2 2" xfId="23774" xr:uid="{DF7DEFB7-16E1-467A-8F36-0BC29C114EA0}"/>
    <cellStyle name="Normal 4 6 3 2 6 2 3" xfId="15333" xr:uid="{E1D7C25C-7759-4951-A694-A68D04138CA9}"/>
    <cellStyle name="Normal 4 6 3 2 6 3" xfId="19556" xr:uid="{7DA3F858-E820-44EA-BA51-FA71E36AC064}"/>
    <cellStyle name="Normal 4 6 3 2 6 4" xfId="11104" xr:uid="{D5B0EE0D-2D3C-42CE-A535-8F31710BFADA}"/>
    <cellStyle name="Normal 4 6 3 2 7" xfId="4774" xr:uid="{00000000-0005-0000-0000-000067160000}"/>
    <cellStyle name="Normal 4 6 3 2 7 2" xfId="21709" xr:uid="{D39A89BB-2775-4898-9DB3-AA77683FDFE1}"/>
    <cellStyle name="Normal 4 6 3 2 7 3" xfId="13268" xr:uid="{6469B099-4270-4797-8EA3-C90E88BA6040}"/>
    <cellStyle name="Normal 4 6 3 2 8" xfId="17491" xr:uid="{01ECA0C7-D06D-4887-899A-E66D97411D3F}"/>
    <cellStyle name="Normal 4 6 3 2 9" xfId="9016" xr:uid="{0B68D017-869C-41EA-A32D-6871DD912055}"/>
    <cellStyle name="Normal 4 6 3 3" xfId="874" xr:uid="{00000000-0005-0000-0000-000068160000}"/>
    <cellStyle name="Normal 4 6 3 3 2" xfId="3109" xr:uid="{00000000-0005-0000-0000-000069160000}"/>
    <cellStyle name="Normal 4 6 3 3 2 2" xfId="7331" xr:uid="{00000000-0005-0000-0000-00006A160000}"/>
    <cellStyle name="Normal 4 6 3 3 2 2 2" xfId="24266" xr:uid="{416882B2-6A08-4CC6-9EA5-82FCFD593CB9}"/>
    <cellStyle name="Normal 4 6 3 3 2 2 3" xfId="15825" xr:uid="{1B798A44-BDE0-46B7-86BC-CDD1298E779E}"/>
    <cellStyle name="Normal 4 6 3 3 2 3" xfId="20048" xr:uid="{B6232478-521F-4F8F-9843-04A8F22A1213}"/>
    <cellStyle name="Normal 4 6 3 3 2 4" xfId="11606" xr:uid="{45E80B8A-6D47-40D2-B97E-CE7C6C47709C}"/>
    <cellStyle name="Normal 4 6 3 3 3" xfId="5186" xr:uid="{00000000-0005-0000-0000-00006B160000}"/>
    <cellStyle name="Normal 4 6 3 3 3 2" xfId="22121" xr:uid="{6E15C723-8CDB-46D9-8308-D020B07092DD}"/>
    <cellStyle name="Normal 4 6 3 3 3 3" xfId="13680" xr:uid="{66A7E1BE-92EC-4191-96E2-7F5EC96898E1}"/>
    <cellStyle name="Normal 4 6 3 3 4" xfId="17903" xr:uid="{C79B36D8-2FFD-4459-A88F-71AE5C8EE5C7}"/>
    <cellStyle name="Normal 4 6 3 3 5" xfId="9429" xr:uid="{A9E1044C-6C3F-4A16-B98E-EA8D6C1AFA76}"/>
    <cellStyle name="Normal 4 6 3 4" xfId="1292" xr:uid="{00000000-0005-0000-0000-00006C160000}"/>
    <cellStyle name="Normal 4 6 3 4 2" xfId="3522" xr:uid="{00000000-0005-0000-0000-00006D160000}"/>
    <cellStyle name="Normal 4 6 3 4 2 2" xfId="7744" xr:uid="{00000000-0005-0000-0000-00006E160000}"/>
    <cellStyle name="Normal 4 6 3 4 2 2 2" xfId="24679" xr:uid="{AE6C55C3-97FC-4512-9050-3E3CBB34E336}"/>
    <cellStyle name="Normal 4 6 3 4 2 2 3" xfId="16238" xr:uid="{CC3F4AA4-DA68-4BE1-B5E8-9C841C0C4657}"/>
    <cellStyle name="Normal 4 6 3 4 2 3" xfId="20461" xr:uid="{4ECBF44F-9FA1-4F0B-B6C9-34CCA2C8D131}"/>
    <cellStyle name="Normal 4 6 3 4 2 4" xfId="12019" xr:uid="{90F1F28D-FD02-45EB-8801-EA8F4067B794}"/>
    <cellStyle name="Normal 4 6 3 4 3" xfId="5599" xr:uid="{00000000-0005-0000-0000-00006F160000}"/>
    <cellStyle name="Normal 4 6 3 4 3 2" xfId="22534" xr:uid="{1ACE538F-132A-496E-84EE-0C937DAE75F2}"/>
    <cellStyle name="Normal 4 6 3 4 3 3" xfId="14093" xr:uid="{15851AD9-CAA2-4D03-A1E2-2B6120B6DF0E}"/>
    <cellStyle name="Normal 4 6 3 4 4" xfId="18316" xr:uid="{8E3F626C-36EA-489F-9016-96ED784ED45D}"/>
    <cellStyle name="Normal 4 6 3 4 5" xfId="9842" xr:uid="{5F28AF53-4689-4C5F-AC43-E821760EB320}"/>
    <cellStyle name="Normal 4 6 3 5" xfId="1705" xr:uid="{00000000-0005-0000-0000-000070160000}"/>
    <cellStyle name="Normal 4 6 3 5 2" xfId="3935" xr:uid="{00000000-0005-0000-0000-000071160000}"/>
    <cellStyle name="Normal 4 6 3 5 2 2" xfId="8157" xr:uid="{00000000-0005-0000-0000-000072160000}"/>
    <cellStyle name="Normal 4 6 3 5 2 2 2" xfId="25092" xr:uid="{ADF39D86-F992-4F8B-861E-0A37E99C3BBF}"/>
    <cellStyle name="Normal 4 6 3 5 2 2 3" xfId="16651" xr:uid="{51D62BC9-44FB-4539-B74C-DF990BF859F9}"/>
    <cellStyle name="Normal 4 6 3 5 2 3" xfId="20874" xr:uid="{B98F851F-1C4C-49A9-85B4-61F100525979}"/>
    <cellStyle name="Normal 4 6 3 5 2 4" xfId="12432" xr:uid="{4AE1870B-BFA3-4EA2-A0A1-36554ACE1D56}"/>
    <cellStyle name="Normal 4 6 3 5 3" xfId="6012" xr:uid="{00000000-0005-0000-0000-000073160000}"/>
    <cellStyle name="Normal 4 6 3 5 3 2" xfId="22947" xr:uid="{E2DE4C81-A226-4BAE-8A57-39CF5DFAFA6E}"/>
    <cellStyle name="Normal 4 6 3 5 3 3" xfId="14506" xr:uid="{A89C79E6-19A6-447D-A1B8-0A220CD4A735}"/>
    <cellStyle name="Normal 4 6 3 5 4" xfId="18729" xr:uid="{22876E17-B7BB-479D-91E9-D0E65D0E4437}"/>
    <cellStyle name="Normal 4 6 3 5 5" xfId="10255" xr:uid="{A25466C4-34DB-43CB-A39C-213BFFB37DAA}"/>
    <cellStyle name="Normal 4 6 3 6" xfId="2119" xr:uid="{00000000-0005-0000-0000-000074160000}"/>
    <cellStyle name="Normal 4 6 3 6 2" xfId="4348" xr:uid="{00000000-0005-0000-0000-000075160000}"/>
    <cellStyle name="Normal 4 6 3 6 2 2" xfId="8570" xr:uid="{00000000-0005-0000-0000-000076160000}"/>
    <cellStyle name="Normal 4 6 3 6 2 2 2" xfId="25505" xr:uid="{C28C2340-AB30-4C15-9D8C-B2D9F5EEF4BA}"/>
    <cellStyle name="Normal 4 6 3 6 2 2 3" xfId="17064" xr:uid="{1B23C687-F896-497B-B71B-8AA9C413338B}"/>
    <cellStyle name="Normal 4 6 3 6 2 3" xfId="21287" xr:uid="{E0C6826C-4D33-4F66-B6CD-BFB50DAB4A61}"/>
    <cellStyle name="Normal 4 6 3 6 2 4" xfId="12845" xr:uid="{E89972CA-B59F-41DE-9C62-571EBFA0FDE4}"/>
    <cellStyle name="Normal 4 6 3 6 3" xfId="6425" xr:uid="{00000000-0005-0000-0000-000077160000}"/>
    <cellStyle name="Normal 4 6 3 6 3 2" xfId="23360" xr:uid="{A0FEAF26-80FC-4539-A553-21D7C976796D}"/>
    <cellStyle name="Normal 4 6 3 6 3 3" xfId="14919" xr:uid="{BB9C7F59-39D2-4C02-AE01-B373C24C7F99}"/>
    <cellStyle name="Normal 4 6 3 6 4" xfId="19142" xr:uid="{B9955723-F1B0-4130-91FA-A212D7100FA1}"/>
    <cellStyle name="Normal 4 6 3 6 5" xfId="10668" xr:uid="{33A990E3-747D-4615-A035-F4AF5317853F}"/>
    <cellStyle name="Normal 4 6 3 7" xfId="2555" xr:uid="{00000000-0005-0000-0000-000078160000}"/>
    <cellStyle name="Normal 4 6 3 7 2" xfId="6838" xr:uid="{00000000-0005-0000-0000-000079160000}"/>
    <cellStyle name="Normal 4 6 3 7 2 2" xfId="23773" xr:uid="{E867AC06-910B-4FD3-9DB7-DC1B0C4E4F03}"/>
    <cellStyle name="Normal 4 6 3 7 2 3" xfId="15332" xr:uid="{B3ABC02A-7290-4773-AE9F-A4758F225898}"/>
    <cellStyle name="Normal 4 6 3 7 3" xfId="19555" xr:uid="{CBBC5F44-AABD-4CDB-9E73-582469384CA7}"/>
    <cellStyle name="Normal 4 6 3 7 4" xfId="11103" xr:uid="{427C18D2-F6FB-4E08-882D-1077EB8616EF}"/>
    <cellStyle name="Normal 4 6 3 8" xfId="4773" xr:uid="{00000000-0005-0000-0000-00007A160000}"/>
    <cellStyle name="Normal 4 6 3 8 2" xfId="21708" xr:uid="{023B1CBE-2585-4913-A4EB-437320ABAC62}"/>
    <cellStyle name="Normal 4 6 3 8 3" xfId="13267" xr:uid="{6858606B-0DB0-4996-A3E1-E8EF5509EEB2}"/>
    <cellStyle name="Normal 4 6 3 9" xfId="17490" xr:uid="{57851CB8-B815-4E72-895A-68220105C1EC}"/>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24268" xr:uid="{A04C6553-BEE4-4961-A2CC-825A222755A9}"/>
    <cellStyle name="Normal 4 6 4 2 2 2 3" xfId="15827" xr:uid="{E57456FA-6FA0-494D-A734-B237E1D00990}"/>
    <cellStyle name="Normal 4 6 4 2 2 3" xfId="20050" xr:uid="{5F9BF862-F578-42BF-BC54-089FE093B148}"/>
    <cellStyle name="Normal 4 6 4 2 2 4" xfId="11608" xr:uid="{CC4721CF-2E06-4019-AE50-6CAC1FE34B14}"/>
    <cellStyle name="Normal 4 6 4 2 3" xfId="5188" xr:uid="{00000000-0005-0000-0000-00007F160000}"/>
    <cellStyle name="Normal 4 6 4 2 3 2" xfId="22123" xr:uid="{0ACB1D4C-3FA1-4E66-AD27-668B16D15DFD}"/>
    <cellStyle name="Normal 4 6 4 2 3 3" xfId="13682" xr:uid="{B0514647-A690-43D7-BC2F-98C1A653EB74}"/>
    <cellStyle name="Normal 4 6 4 2 4" xfId="17905" xr:uid="{ABD7EA3F-81CD-40F6-A8B8-3596B777361A}"/>
    <cellStyle name="Normal 4 6 4 2 5" xfId="9431" xr:uid="{ACD1229F-6669-4AFC-8CF6-4E56B5F9D120}"/>
    <cellStyle name="Normal 4 6 4 3" xfId="1294" xr:uid="{00000000-0005-0000-0000-000080160000}"/>
    <cellStyle name="Normal 4 6 4 3 2" xfId="3524" xr:uid="{00000000-0005-0000-0000-000081160000}"/>
    <cellStyle name="Normal 4 6 4 3 2 2" xfId="7746" xr:uid="{00000000-0005-0000-0000-000082160000}"/>
    <cellStyle name="Normal 4 6 4 3 2 2 2" xfId="24681" xr:uid="{FB11208B-21CD-487F-97F6-2AB4F2595FD4}"/>
    <cellStyle name="Normal 4 6 4 3 2 2 3" xfId="16240" xr:uid="{19E43746-4076-49FD-A0EB-CE024CE842DE}"/>
    <cellStyle name="Normal 4 6 4 3 2 3" xfId="20463" xr:uid="{3A54CD24-3860-4D41-BE27-36B40F5EF075}"/>
    <cellStyle name="Normal 4 6 4 3 2 4" xfId="12021" xr:uid="{CCD9B167-07BB-4005-9913-B6921709FF08}"/>
    <cellStyle name="Normal 4 6 4 3 3" xfId="5601" xr:uid="{00000000-0005-0000-0000-000083160000}"/>
    <cellStyle name="Normal 4 6 4 3 3 2" xfId="22536" xr:uid="{5A8F68B7-E70D-45B3-BBB6-8CF3D0522E12}"/>
    <cellStyle name="Normal 4 6 4 3 3 3" xfId="14095" xr:uid="{A61A9081-E75C-4F38-9565-789DDD3FBDF6}"/>
    <cellStyle name="Normal 4 6 4 3 4" xfId="18318" xr:uid="{EF49C7C9-E4CA-4DD2-8125-D96D2A4A168D}"/>
    <cellStyle name="Normal 4 6 4 3 5" xfId="9844" xr:uid="{FCD50CC9-0EE0-468E-ADD6-4832AC08D531}"/>
    <cellStyle name="Normal 4 6 4 4" xfId="1707" xr:uid="{00000000-0005-0000-0000-000084160000}"/>
    <cellStyle name="Normal 4 6 4 4 2" xfId="3937" xr:uid="{00000000-0005-0000-0000-000085160000}"/>
    <cellStyle name="Normal 4 6 4 4 2 2" xfId="8159" xr:uid="{00000000-0005-0000-0000-000086160000}"/>
    <cellStyle name="Normal 4 6 4 4 2 2 2" xfId="25094" xr:uid="{3052537B-E640-4070-BAB1-6080C786538D}"/>
    <cellStyle name="Normal 4 6 4 4 2 2 3" xfId="16653" xr:uid="{659C66A7-7ABE-49A0-A728-29395B54E165}"/>
    <cellStyle name="Normal 4 6 4 4 2 3" xfId="20876" xr:uid="{B3E428C6-DFCF-4CAB-8ADB-764D2C6A082E}"/>
    <cellStyle name="Normal 4 6 4 4 2 4" xfId="12434" xr:uid="{CD00A0D3-EE87-4D84-A6B3-9857587552FB}"/>
    <cellStyle name="Normal 4 6 4 4 3" xfId="6014" xr:uid="{00000000-0005-0000-0000-000087160000}"/>
    <cellStyle name="Normal 4 6 4 4 3 2" xfId="22949" xr:uid="{F2EC7CB4-6E9F-49BE-ABCA-657E050DE2B9}"/>
    <cellStyle name="Normal 4 6 4 4 3 3" xfId="14508" xr:uid="{56D197F9-5AE7-440E-A164-2D5AA80A054D}"/>
    <cellStyle name="Normal 4 6 4 4 4" xfId="18731" xr:uid="{3BCCF80A-2B68-465F-95AC-7232452CF268}"/>
    <cellStyle name="Normal 4 6 4 4 5" xfId="10257" xr:uid="{C00D6D1D-83A8-4E87-B09A-CF44120A6F7F}"/>
    <cellStyle name="Normal 4 6 4 5" xfId="2121" xr:uid="{00000000-0005-0000-0000-000088160000}"/>
    <cellStyle name="Normal 4 6 4 5 2" xfId="4350" xr:uid="{00000000-0005-0000-0000-000089160000}"/>
    <cellStyle name="Normal 4 6 4 5 2 2" xfId="8572" xr:uid="{00000000-0005-0000-0000-00008A160000}"/>
    <cellStyle name="Normal 4 6 4 5 2 2 2" xfId="25507" xr:uid="{F058570E-A949-4D47-BE05-41E265C43BE6}"/>
    <cellStyle name="Normal 4 6 4 5 2 2 3" xfId="17066" xr:uid="{811569D0-059F-4AD6-BD65-2D7FF78C6FD2}"/>
    <cellStyle name="Normal 4 6 4 5 2 3" xfId="21289" xr:uid="{A2BFE6DA-5CD6-4F53-9E27-EF70141419DE}"/>
    <cellStyle name="Normal 4 6 4 5 2 4" xfId="12847" xr:uid="{A826F5E4-C7E1-4C80-A727-3E1D6A6771A3}"/>
    <cellStyle name="Normal 4 6 4 5 3" xfId="6427" xr:uid="{00000000-0005-0000-0000-00008B160000}"/>
    <cellStyle name="Normal 4 6 4 5 3 2" xfId="23362" xr:uid="{DFE0C495-07B7-4F41-9232-69546E5BC66C}"/>
    <cellStyle name="Normal 4 6 4 5 3 3" xfId="14921" xr:uid="{B65BD279-941F-4365-99BC-4C3CEB4C87CF}"/>
    <cellStyle name="Normal 4 6 4 5 4" xfId="19144" xr:uid="{0D6ECE03-6A9D-4CFB-B910-295DC38A413F}"/>
    <cellStyle name="Normal 4 6 4 5 5" xfId="10670" xr:uid="{F9654861-8752-45A9-8C7F-E282B41543AB}"/>
    <cellStyle name="Normal 4 6 4 6" xfId="2557" xr:uid="{00000000-0005-0000-0000-00008C160000}"/>
    <cellStyle name="Normal 4 6 4 6 2" xfId="6840" xr:uid="{00000000-0005-0000-0000-00008D160000}"/>
    <cellStyle name="Normal 4 6 4 6 2 2" xfId="23775" xr:uid="{88C4C85D-D8EF-4DA5-BC13-A866691D7A0A}"/>
    <cellStyle name="Normal 4 6 4 6 2 3" xfId="15334" xr:uid="{DC20FDA9-C03C-476B-ABEA-55F59374227D}"/>
    <cellStyle name="Normal 4 6 4 6 3" xfId="19557" xr:uid="{5DD77B0E-F11E-41E4-8E84-D375B0361FF9}"/>
    <cellStyle name="Normal 4 6 4 6 4" xfId="11105" xr:uid="{E11D7393-17CF-4D99-9F38-A6D772141646}"/>
    <cellStyle name="Normal 4 6 4 7" xfId="4775" xr:uid="{00000000-0005-0000-0000-00008E160000}"/>
    <cellStyle name="Normal 4 6 4 7 2" xfId="21710" xr:uid="{9CA504F6-8774-445B-A89C-C5612D20041E}"/>
    <cellStyle name="Normal 4 6 4 7 3" xfId="13269" xr:uid="{D2AE5844-8501-4986-B231-8B18068ED018}"/>
    <cellStyle name="Normal 4 6 4 8" xfId="17492" xr:uid="{F5DB5285-9A8D-4490-8EF0-782F0C49AFFD}"/>
    <cellStyle name="Normal 4 6 4 9" xfId="9017" xr:uid="{598F1D67-A5B8-421A-A29B-78826C027ADE}"/>
    <cellStyle name="Normal 4 6 5" xfId="869" xr:uid="{00000000-0005-0000-0000-00008F160000}"/>
    <cellStyle name="Normal 4 6 5 2" xfId="3104" xr:uid="{00000000-0005-0000-0000-000090160000}"/>
    <cellStyle name="Normal 4 6 5 2 2" xfId="7326" xr:uid="{00000000-0005-0000-0000-000091160000}"/>
    <cellStyle name="Normal 4 6 5 2 2 2" xfId="24261" xr:uid="{113AFA91-E83E-4FD1-BA4F-B54A692C5571}"/>
    <cellStyle name="Normal 4 6 5 2 2 3" xfId="15820" xr:uid="{739CFDAB-2BA9-4F6A-9AD0-E545A75F288A}"/>
    <cellStyle name="Normal 4 6 5 2 3" xfId="20043" xr:uid="{D0C334DD-82E8-4D1D-9B0B-37BA1298495C}"/>
    <cellStyle name="Normal 4 6 5 2 4" xfId="11601" xr:uid="{E9EE037D-C7D9-43BC-8A05-925043A46F73}"/>
    <cellStyle name="Normal 4 6 5 3" xfId="5181" xr:uid="{00000000-0005-0000-0000-000092160000}"/>
    <cellStyle name="Normal 4 6 5 3 2" xfId="22116" xr:uid="{52E2584B-5B3F-47C3-908F-17387110127C}"/>
    <cellStyle name="Normal 4 6 5 3 3" xfId="13675" xr:uid="{9A606954-356B-467D-9AA9-0019BEA949AE}"/>
    <cellStyle name="Normal 4 6 5 4" xfId="17898" xr:uid="{E778932A-0083-48D9-8FAB-7390D4240AF1}"/>
    <cellStyle name="Normal 4 6 5 5" xfId="9424" xr:uid="{1B12143F-7F29-4EF6-B0E6-BFE457C38625}"/>
    <cellStyle name="Normal 4 6 6" xfId="1287" xr:uid="{00000000-0005-0000-0000-000093160000}"/>
    <cellStyle name="Normal 4 6 6 2" xfId="3517" xr:uid="{00000000-0005-0000-0000-000094160000}"/>
    <cellStyle name="Normal 4 6 6 2 2" xfId="7739" xr:uid="{00000000-0005-0000-0000-000095160000}"/>
    <cellStyle name="Normal 4 6 6 2 2 2" xfId="24674" xr:uid="{11CC4C97-612B-48F8-8C10-A5BC7FC829D3}"/>
    <cellStyle name="Normal 4 6 6 2 2 3" xfId="16233" xr:uid="{782FA9DC-5D89-41CA-84B2-2DB50F055E3E}"/>
    <cellStyle name="Normal 4 6 6 2 3" xfId="20456" xr:uid="{35D8E3B8-C876-4BEE-B096-A9CD67D3EC26}"/>
    <cellStyle name="Normal 4 6 6 2 4" xfId="12014" xr:uid="{B967EAB2-5588-4C80-B224-04E32ED57FBC}"/>
    <cellStyle name="Normal 4 6 6 3" xfId="5594" xr:uid="{00000000-0005-0000-0000-000096160000}"/>
    <cellStyle name="Normal 4 6 6 3 2" xfId="22529" xr:uid="{4505B32C-8C2E-4C22-8831-0BD8728A5F55}"/>
    <cellStyle name="Normal 4 6 6 3 3" xfId="14088" xr:uid="{A0FF8554-F7B9-41DE-A3D5-F44C7508C43E}"/>
    <cellStyle name="Normal 4 6 6 4" xfId="18311" xr:uid="{940AF1FD-0624-4662-973F-C824387D8811}"/>
    <cellStyle name="Normal 4 6 6 5" xfId="9837" xr:uid="{DBD57BEF-24B8-4CFB-A3FD-818AB4BA517B}"/>
    <cellStyle name="Normal 4 6 7" xfId="1700" xr:uid="{00000000-0005-0000-0000-000097160000}"/>
    <cellStyle name="Normal 4 6 7 2" xfId="3930" xr:uid="{00000000-0005-0000-0000-000098160000}"/>
    <cellStyle name="Normal 4 6 7 2 2" xfId="8152" xr:uid="{00000000-0005-0000-0000-000099160000}"/>
    <cellStyle name="Normal 4 6 7 2 2 2" xfId="25087" xr:uid="{2EE79C33-6D0C-4AA5-B7BA-22D094BA5912}"/>
    <cellStyle name="Normal 4 6 7 2 2 3" xfId="16646" xr:uid="{C458377E-54E9-4C51-9D6A-5EC9439E793F}"/>
    <cellStyle name="Normal 4 6 7 2 3" xfId="20869" xr:uid="{C424EC7E-BDC7-4800-A257-362797B9EB1B}"/>
    <cellStyle name="Normal 4 6 7 2 4" xfId="12427" xr:uid="{157D533A-D405-4318-9184-7A427A96E4B6}"/>
    <cellStyle name="Normal 4 6 7 3" xfId="6007" xr:uid="{00000000-0005-0000-0000-00009A160000}"/>
    <cellStyle name="Normal 4 6 7 3 2" xfId="22942" xr:uid="{E35A5474-4585-440E-8BEB-CD3A85884E9A}"/>
    <cellStyle name="Normal 4 6 7 3 3" xfId="14501" xr:uid="{87FCEE78-FAD6-42D0-8403-85115DF2508C}"/>
    <cellStyle name="Normal 4 6 7 4" xfId="18724" xr:uid="{49B92BB9-6208-488A-ACC9-A0FDBFC54DC9}"/>
    <cellStyle name="Normal 4 6 7 5" xfId="10250" xr:uid="{1FD90036-D2FF-4195-916C-D125D3004174}"/>
    <cellStyle name="Normal 4 6 8" xfId="2114" xr:uid="{00000000-0005-0000-0000-00009B160000}"/>
    <cellStyle name="Normal 4 6 8 2" xfId="4343" xr:uid="{00000000-0005-0000-0000-00009C160000}"/>
    <cellStyle name="Normal 4 6 8 2 2" xfId="8565" xr:uid="{00000000-0005-0000-0000-00009D160000}"/>
    <cellStyle name="Normal 4 6 8 2 2 2" xfId="25500" xr:uid="{EF92F61F-9CE5-4970-B89F-ACB5EFDD74AD}"/>
    <cellStyle name="Normal 4 6 8 2 2 3" xfId="17059" xr:uid="{2888EEDA-A5C5-47FA-9BA0-6F7B3287D49C}"/>
    <cellStyle name="Normal 4 6 8 2 3" xfId="21282" xr:uid="{E62080EF-DF6C-4583-BA23-5F1526CFEFA6}"/>
    <cellStyle name="Normal 4 6 8 2 4" xfId="12840" xr:uid="{0BD76241-CD64-43A2-A533-4385315D6AB8}"/>
    <cellStyle name="Normal 4 6 8 3" xfId="6420" xr:uid="{00000000-0005-0000-0000-00009E160000}"/>
    <cellStyle name="Normal 4 6 8 3 2" xfId="23355" xr:uid="{3F1BD2DB-69F9-4950-966C-AA8457D136D0}"/>
    <cellStyle name="Normal 4 6 8 3 3" xfId="14914" xr:uid="{ABC6B749-520F-4B03-85AD-9EA432383B37}"/>
    <cellStyle name="Normal 4 6 8 4" xfId="19137" xr:uid="{BC29BD00-03C4-4B40-A2A4-F9E29AB441C8}"/>
    <cellStyle name="Normal 4 6 8 5" xfId="10663" xr:uid="{628F913F-25AA-4ABA-AF03-D0DD90DEEE70}"/>
    <cellStyle name="Normal 4 6 9" xfId="2550" xr:uid="{00000000-0005-0000-0000-00009F160000}"/>
    <cellStyle name="Normal 4 6 9 2" xfId="6833" xr:uid="{00000000-0005-0000-0000-0000A0160000}"/>
    <cellStyle name="Normal 4 6 9 2 2" xfId="23768" xr:uid="{83AAB263-CFA6-47A3-B313-EB8F4F39ED73}"/>
    <cellStyle name="Normal 4 6 9 2 3" xfId="15327" xr:uid="{71032546-C325-41B1-8DE3-727EDE89AB3B}"/>
    <cellStyle name="Normal 4 6 9 3" xfId="19550" xr:uid="{1A7D8506-C0E5-4893-908E-7DD6DC5FBA11}"/>
    <cellStyle name="Normal 4 6 9 4" xfId="11098" xr:uid="{6AA6FD08-788B-4C0F-B1BA-3FC508C9FFF2}"/>
    <cellStyle name="Normal 4 7" xfId="403" xr:uid="{00000000-0005-0000-0000-0000A1160000}"/>
    <cellStyle name="Normal 4 7 10" xfId="9018" xr:uid="{659D3B3E-EBD0-441B-AA34-5937598F4D26}"/>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24270" xr:uid="{9EFD56EE-8C4D-42E9-8CCA-91D67AA50C0C}"/>
    <cellStyle name="Normal 4 7 2 2 2 2 3" xfId="15829" xr:uid="{D3107786-BB9F-454E-A263-96CA7EB60382}"/>
    <cellStyle name="Normal 4 7 2 2 2 3" xfId="20052" xr:uid="{A6E6BD79-F3D0-4A92-BAFB-083613B971FD}"/>
    <cellStyle name="Normal 4 7 2 2 2 4" xfId="11610" xr:uid="{BC2B52E2-098F-4160-BB3B-150FEC274DBC}"/>
    <cellStyle name="Normal 4 7 2 2 3" xfId="5190" xr:uid="{00000000-0005-0000-0000-0000A6160000}"/>
    <cellStyle name="Normal 4 7 2 2 3 2" xfId="22125" xr:uid="{BF70B1D7-D2B0-4F84-A29C-9F8F958F8AA0}"/>
    <cellStyle name="Normal 4 7 2 2 3 3" xfId="13684" xr:uid="{1B1A09B3-6B3F-486E-9595-CF258FC0A733}"/>
    <cellStyle name="Normal 4 7 2 2 4" xfId="17907" xr:uid="{E3E3ECBA-CE45-4571-9FCF-EB7A1B220587}"/>
    <cellStyle name="Normal 4 7 2 2 5" xfId="9433" xr:uid="{C19EFCC4-BB74-4C5F-8BEE-AA5BFE667E29}"/>
    <cellStyle name="Normal 4 7 2 3" xfId="1296" xr:uid="{00000000-0005-0000-0000-0000A7160000}"/>
    <cellStyle name="Normal 4 7 2 3 2" xfId="3526" xr:uid="{00000000-0005-0000-0000-0000A8160000}"/>
    <cellStyle name="Normal 4 7 2 3 2 2" xfId="7748" xr:uid="{00000000-0005-0000-0000-0000A9160000}"/>
    <cellStyle name="Normal 4 7 2 3 2 2 2" xfId="24683" xr:uid="{B9610635-D9A8-4C65-B43E-CEDC07055980}"/>
    <cellStyle name="Normal 4 7 2 3 2 2 3" xfId="16242" xr:uid="{8CFB573A-F8CA-49FD-9A72-A1E35478CE9D}"/>
    <cellStyle name="Normal 4 7 2 3 2 3" xfId="20465" xr:uid="{ACC0D2B7-CEA7-416A-8D98-10680E5C2173}"/>
    <cellStyle name="Normal 4 7 2 3 2 4" xfId="12023" xr:uid="{4AA1F619-645C-4C06-B570-474ABEF15C12}"/>
    <cellStyle name="Normal 4 7 2 3 3" xfId="5603" xr:uid="{00000000-0005-0000-0000-0000AA160000}"/>
    <cellStyle name="Normal 4 7 2 3 3 2" xfId="22538" xr:uid="{806D2C99-3A2B-4569-9C6D-016320323481}"/>
    <cellStyle name="Normal 4 7 2 3 3 3" xfId="14097" xr:uid="{FB07362C-E4D3-4667-B451-4226A13F8496}"/>
    <cellStyle name="Normal 4 7 2 3 4" xfId="18320" xr:uid="{E1A977AF-2159-49BB-8206-2DEA5F38DC19}"/>
    <cellStyle name="Normal 4 7 2 3 5" xfId="9846" xr:uid="{FB39E51E-066D-4440-96E2-1DEE48EBD354}"/>
    <cellStyle name="Normal 4 7 2 4" xfId="1709" xr:uid="{00000000-0005-0000-0000-0000AB160000}"/>
    <cellStyle name="Normal 4 7 2 4 2" xfId="3939" xr:uid="{00000000-0005-0000-0000-0000AC160000}"/>
    <cellStyle name="Normal 4 7 2 4 2 2" xfId="8161" xr:uid="{00000000-0005-0000-0000-0000AD160000}"/>
    <cellStyle name="Normal 4 7 2 4 2 2 2" xfId="25096" xr:uid="{6FEFFCE0-6828-4F7A-974F-5731002543A4}"/>
    <cellStyle name="Normal 4 7 2 4 2 2 3" xfId="16655" xr:uid="{4D7E0D54-471C-4399-8B3E-09E3F4FFEE5D}"/>
    <cellStyle name="Normal 4 7 2 4 2 3" xfId="20878" xr:uid="{C148B67F-4512-42ED-B1AC-D9CFEB444989}"/>
    <cellStyle name="Normal 4 7 2 4 2 4" xfId="12436" xr:uid="{379CF5FB-0EDD-4249-B439-C09F248BD7EE}"/>
    <cellStyle name="Normal 4 7 2 4 3" xfId="6016" xr:uid="{00000000-0005-0000-0000-0000AE160000}"/>
    <cellStyle name="Normal 4 7 2 4 3 2" xfId="22951" xr:uid="{365E06F7-B59E-480D-9D3A-D93B81655A8D}"/>
    <cellStyle name="Normal 4 7 2 4 3 3" xfId="14510" xr:uid="{A3F3B7AD-018C-443E-8307-B9EBC825A93B}"/>
    <cellStyle name="Normal 4 7 2 4 4" xfId="18733" xr:uid="{2D2531C0-A82D-40C5-9492-6BED74B4ABF4}"/>
    <cellStyle name="Normal 4 7 2 4 5" xfId="10259" xr:uid="{9E8509A4-EF50-4316-91F7-AD723996810F}"/>
    <cellStyle name="Normal 4 7 2 5" xfId="2123" xr:uid="{00000000-0005-0000-0000-0000AF160000}"/>
    <cellStyle name="Normal 4 7 2 5 2" xfId="4352" xr:uid="{00000000-0005-0000-0000-0000B0160000}"/>
    <cellStyle name="Normal 4 7 2 5 2 2" xfId="8574" xr:uid="{00000000-0005-0000-0000-0000B1160000}"/>
    <cellStyle name="Normal 4 7 2 5 2 2 2" xfId="25509" xr:uid="{82E37F4F-AC84-415B-A992-1359297F4B99}"/>
    <cellStyle name="Normal 4 7 2 5 2 2 3" xfId="17068" xr:uid="{2619C324-5288-4231-A1F3-4360EC0F37DB}"/>
    <cellStyle name="Normal 4 7 2 5 2 3" xfId="21291" xr:uid="{95F6B11A-0D9C-410A-A5CE-DDF4FBB9220C}"/>
    <cellStyle name="Normal 4 7 2 5 2 4" xfId="12849" xr:uid="{7460B486-3F94-4556-A7CD-77D1B175F2C0}"/>
    <cellStyle name="Normal 4 7 2 5 3" xfId="6429" xr:uid="{00000000-0005-0000-0000-0000B2160000}"/>
    <cellStyle name="Normal 4 7 2 5 3 2" xfId="23364" xr:uid="{E5F2DFD0-68FB-454B-92F2-1233022D35A8}"/>
    <cellStyle name="Normal 4 7 2 5 3 3" xfId="14923" xr:uid="{680FE167-CCDE-473A-B7C8-1FACD0CC9EBB}"/>
    <cellStyle name="Normal 4 7 2 5 4" xfId="19146" xr:uid="{13E6E0F9-5D72-4200-B992-E3D301696C94}"/>
    <cellStyle name="Normal 4 7 2 5 5" xfId="10672" xr:uid="{47B0EBF6-00B5-4C0F-AFFE-954811DEC5F8}"/>
    <cellStyle name="Normal 4 7 2 6" xfId="2559" xr:uid="{00000000-0005-0000-0000-0000B3160000}"/>
    <cellStyle name="Normal 4 7 2 6 2" xfId="6842" xr:uid="{00000000-0005-0000-0000-0000B4160000}"/>
    <cellStyle name="Normal 4 7 2 6 2 2" xfId="23777" xr:uid="{9DFF1150-4BB6-482B-9634-FFF0B984199E}"/>
    <cellStyle name="Normal 4 7 2 6 2 3" xfId="15336" xr:uid="{7609582F-A89D-40F8-91AB-D654B3A394C3}"/>
    <cellStyle name="Normal 4 7 2 6 3" xfId="19559" xr:uid="{D7858AEF-98A2-4992-954D-7DC33A83F03C}"/>
    <cellStyle name="Normal 4 7 2 6 4" xfId="11107" xr:uid="{CF5642DC-1470-41A5-A343-F02181940A1C}"/>
    <cellStyle name="Normal 4 7 2 7" xfId="4777" xr:uid="{00000000-0005-0000-0000-0000B5160000}"/>
    <cellStyle name="Normal 4 7 2 7 2" xfId="21712" xr:uid="{7476C1AB-C58A-4431-B64F-4680465002F5}"/>
    <cellStyle name="Normal 4 7 2 7 3" xfId="13271" xr:uid="{BA02FF91-ED45-42B0-83AA-3B6A7BAEA444}"/>
    <cellStyle name="Normal 4 7 2 8" xfId="17494" xr:uid="{7E3A63C5-AF8D-4D50-97C5-785BE0EC436F}"/>
    <cellStyle name="Normal 4 7 2 9" xfId="9019" xr:uid="{032D5392-7E5F-43F2-BADC-A8043F8A9FAF}"/>
    <cellStyle name="Normal 4 7 3" xfId="877" xr:uid="{00000000-0005-0000-0000-0000B6160000}"/>
    <cellStyle name="Normal 4 7 3 2" xfId="3112" xr:uid="{00000000-0005-0000-0000-0000B7160000}"/>
    <cellStyle name="Normal 4 7 3 2 2" xfId="7334" xr:uid="{00000000-0005-0000-0000-0000B8160000}"/>
    <cellStyle name="Normal 4 7 3 2 2 2" xfId="24269" xr:uid="{01CBD64A-3470-489C-AAA6-704D3060BAA6}"/>
    <cellStyle name="Normal 4 7 3 2 2 3" xfId="15828" xr:uid="{8E541B8C-0E87-4BD6-A7CF-1AD71E8E201A}"/>
    <cellStyle name="Normal 4 7 3 2 3" xfId="20051" xr:uid="{ADD9CBE7-B9C3-40DA-ADAB-E46C6D13817C}"/>
    <cellStyle name="Normal 4 7 3 2 4" xfId="11609" xr:uid="{87E2DDC2-F482-47CC-8C2D-12E9E0DFE15E}"/>
    <cellStyle name="Normal 4 7 3 3" xfId="5189" xr:uid="{00000000-0005-0000-0000-0000B9160000}"/>
    <cellStyle name="Normal 4 7 3 3 2" xfId="22124" xr:uid="{486479AB-2509-4644-AE77-EBC57F19C7BD}"/>
    <cellStyle name="Normal 4 7 3 3 3" xfId="13683" xr:uid="{5A3E1F9D-F7ED-4709-A23E-AD638F1AD9C7}"/>
    <cellStyle name="Normal 4 7 3 4" xfId="17906" xr:uid="{C579072B-CF13-4EF6-AEFF-B5E39B764DD8}"/>
    <cellStyle name="Normal 4 7 3 5" xfId="9432" xr:uid="{F172C9CB-933A-4CC2-BCF8-44EDB3B0EF6F}"/>
    <cellStyle name="Normal 4 7 4" xfId="1295" xr:uid="{00000000-0005-0000-0000-0000BA160000}"/>
    <cellStyle name="Normal 4 7 4 2" xfId="3525" xr:uid="{00000000-0005-0000-0000-0000BB160000}"/>
    <cellStyle name="Normal 4 7 4 2 2" xfId="7747" xr:uid="{00000000-0005-0000-0000-0000BC160000}"/>
    <cellStyle name="Normal 4 7 4 2 2 2" xfId="24682" xr:uid="{221B914D-FF57-4C64-98C5-DAF558916321}"/>
    <cellStyle name="Normal 4 7 4 2 2 3" xfId="16241" xr:uid="{543F5360-4808-47D4-B513-99F98C914105}"/>
    <cellStyle name="Normal 4 7 4 2 3" xfId="20464" xr:uid="{760A4DF3-548D-41F9-8CF1-910BD01F51C0}"/>
    <cellStyle name="Normal 4 7 4 2 4" xfId="12022" xr:uid="{858DB2AC-E3AB-408E-8AC2-511AE9798BF2}"/>
    <cellStyle name="Normal 4 7 4 3" xfId="5602" xr:uid="{00000000-0005-0000-0000-0000BD160000}"/>
    <cellStyle name="Normal 4 7 4 3 2" xfId="22537" xr:uid="{DDBBCE7F-8030-49C0-9EA2-40CAC36E4D4A}"/>
    <cellStyle name="Normal 4 7 4 3 3" xfId="14096" xr:uid="{DC4CB746-2EE9-4AAF-AC43-BB1FB4B832A4}"/>
    <cellStyle name="Normal 4 7 4 4" xfId="18319" xr:uid="{4DB5CA1E-0A63-4D93-9092-496E39A89558}"/>
    <cellStyle name="Normal 4 7 4 5" xfId="9845" xr:uid="{EFB36968-5719-4AB0-A3A3-24D846323F48}"/>
    <cellStyle name="Normal 4 7 5" xfId="1708" xr:uid="{00000000-0005-0000-0000-0000BE160000}"/>
    <cellStyle name="Normal 4 7 5 2" xfId="3938" xr:uid="{00000000-0005-0000-0000-0000BF160000}"/>
    <cellStyle name="Normal 4 7 5 2 2" xfId="8160" xr:uid="{00000000-0005-0000-0000-0000C0160000}"/>
    <cellStyle name="Normal 4 7 5 2 2 2" xfId="25095" xr:uid="{8EC4D4CB-6AC1-4ACC-89C3-E13A3FCBABA2}"/>
    <cellStyle name="Normal 4 7 5 2 2 3" xfId="16654" xr:uid="{731F7E7E-6136-40D3-9F0B-5A0DAB863A0A}"/>
    <cellStyle name="Normal 4 7 5 2 3" xfId="20877" xr:uid="{8CBC384D-0717-4F9A-91E9-76BC5A87698D}"/>
    <cellStyle name="Normal 4 7 5 2 4" xfId="12435" xr:uid="{63D34257-125E-4EAB-BAF9-A4373EDC24E8}"/>
    <cellStyle name="Normal 4 7 5 3" xfId="6015" xr:uid="{00000000-0005-0000-0000-0000C1160000}"/>
    <cellStyle name="Normal 4 7 5 3 2" xfId="22950" xr:uid="{49C4EB57-3EAB-4EAB-9D40-F2067242FEFC}"/>
    <cellStyle name="Normal 4 7 5 3 3" xfId="14509" xr:uid="{08268713-7FD9-4C0B-96EB-A0AEE142B336}"/>
    <cellStyle name="Normal 4 7 5 4" xfId="18732" xr:uid="{8E55C96A-291F-4715-98E9-7B2E14E68B04}"/>
    <cellStyle name="Normal 4 7 5 5" xfId="10258" xr:uid="{A528985B-E849-4695-A976-6B58D146F9C0}"/>
    <cellStyle name="Normal 4 7 6" xfId="2122" xr:uid="{00000000-0005-0000-0000-0000C2160000}"/>
    <cellStyle name="Normal 4 7 6 2" xfId="4351" xr:uid="{00000000-0005-0000-0000-0000C3160000}"/>
    <cellStyle name="Normal 4 7 6 2 2" xfId="8573" xr:uid="{00000000-0005-0000-0000-0000C4160000}"/>
    <cellStyle name="Normal 4 7 6 2 2 2" xfId="25508" xr:uid="{8ED502A3-4569-43D1-ABF7-4D27C9FC2423}"/>
    <cellStyle name="Normal 4 7 6 2 2 3" xfId="17067" xr:uid="{54EBED08-B0FD-4A4D-B88B-C0C771A5402F}"/>
    <cellStyle name="Normal 4 7 6 2 3" xfId="21290" xr:uid="{ED3D3AA3-08EE-4252-B483-3E09820C557D}"/>
    <cellStyle name="Normal 4 7 6 2 4" xfId="12848" xr:uid="{1739FDF5-F0C6-45A1-9A8A-810B317B3F26}"/>
    <cellStyle name="Normal 4 7 6 3" xfId="6428" xr:uid="{00000000-0005-0000-0000-0000C5160000}"/>
    <cellStyle name="Normal 4 7 6 3 2" xfId="23363" xr:uid="{E408E73B-7A0F-4FB9-85A8-04FF3C09AC9C}"/>
    <cellStyle name="Normal 4 7 6 3 3" xfId="14922" xr:uid="{5C9B4E44-A54A-48A2-99FA-106B7FE7FADF}"/>
    <cellStyle name="Normal 4 7 6 4" xfId="19145" xr:uid="{8C6E2CC9-BC89-494C-BBAC-BA72BCEAD2DE}"/>
    <cellStyle name="Normal 4 7 6 5" xfId="10671" xr:uid="{DC455A60-0EE2-4220-8BA9-65962D793507}"/>
    <cellStyle name="Normal 4 7 7" xfId="2558" xr:uid="{00000000-0005-0000-0000-0000C6160000}"/>
    <cellStyle name="Normal 4 7 7 2" xfId="6841" xr:uid="{00000000-0005-0000-0000-0000C7160000}"/>
    <cellStyle name="Normal 4 7 7 2 2" xfId="23776" xr:uid="{CF3B5C48-D3CF-4499-AD46-087749D4C404}"/>
    <cellStyle name="Normal 4 7 7 2 3" xfId="15335" xr:uid="{007D8C3C-4A58-47F2-A314-D51FEC195951}"/>
    <cellStyle name="Normal 4 7 7 3" xfId="19558" xr:uid="{3E387F10-54AC-4C22-BF9C-0E048BDFAE1C}"/>
    <cellStyle name="Normal 4 7 7 4" xfId="11106" xr:uid="{2DB50DA2-45FA-4F5F-B7D1-BBBD591092E5}"/>
    <cellStyle name="Normal 4 7 8" xfId="4776" xr:uid="{00000000-0005-0000-0000-0000C8160000}"/>
    <cellStyle name="Normal 4 7 8 2" xfId="21711" xr:uid="{8CC10A52-D0D5-4F24-8C5D-93455615CF1F}"/>
    <cellStyle name="Normal 4 7 8 3" xfId="13270" xr:uid="{039A48BB-7473-4D8F-8178-4596679344DD}"/>
    <cellStyle name="Normal 4 7 9" xfId="17493" xr:uid="{860F1787-05C8-406A-82BA-F5118C5072E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24271" xr:uid="{F5723B8A-9E70-4AA2-8D46-90F8C5B070D6}"/>
    <cellStyle name="Normal 4 8 2 2 2 3" xfId="15830" xr:uid="{0A661590-46A1-4AEA-85AE-FD4E5F7F98A7}"/>
    <cellStyle name="Normal 4 8 2 2 3" xfId="20053" xr:uid="{3D5D1107-EB17-464B-8A40-39A0567E3DF0}"/>
    <cellStyle name="Normal 4 8 2 2 4" xfId="11611" xr:uid="{18AC898F-4330-4A14-A2D1-0544CB29C79F}"/>
    <cellStyle name="Normal 4 8 2 3" xfId="5191" xr:uid="{00000000-0005-0000-0000-0000CD160000}"/>
    <cellStyle name="Normal 4 8 2 3 2" xfId="22126" xr:uid="{64924C19-CAD9-442A-AD6D-F5C80B2CB593}"/>
    <cellStyle name="Normal 4 8 2 3 3" xfId="13685" xr:uid="{DDF5E9E8-907C-4ABD-8B3C-E02FB7100AEB}"/>
    <cellStyle name="Normal 4 8 2 4" xfId="17908" xr:uid="{4D5EEB9E-5AD4-4E13-BA59-B8362D6B6F7E}"/>
    <cellStyle name="Normal 4 8 2 5" xfId="9434" xr:uid="{5ABDEA0C-B548-42DC-84DB-40B3F065B693}"/>
    <cellStyle name="Normal 4 8 3" xfId="1297" xr:uid="{00000000-0005-0000-0000-0000CE160000}"/>
    <cellStyle name="Normal 4 8 3 2" xfId="3527" xr:uid="{00000000-0005-0000-0000-0000CF160000}"/>
    <cellStyle name="Normal 4 8 3 2 2" xfId="7749" xr:uid="{00000000-0005-0000-0000-0000D0160000}"/>
    <cellStyle name="Normal 4 8 3 2 2 2" xfId="24684" xr:uid="{4D5F64E9-E2B7-490A-9598-8D6CDCC5111A}"/>
    <cellStyle name="Normal 4 8 3 2 2 3" xfId="16243" xr:uid="{8F21C6D6-54C2-4228-BF79-6C855791BCFF}"/>
    <cellStyle name="Normal 4 8 3 2 3" xfId="20466" xr:uid="{32802C4C-D906-4028-B1C7-9FF46C930128}"/>
    <cellStyle name="Normal 4 8 3 2 4" xfId="12024" xr:uid="{AF097DAB-627D-44F9-AA62-0E08B6D36B0B}"/>
    <cellStyle name="Normal 4 8 3 3" xfId="5604" xr:uid="{00000000-0005-0000-0000-0000D1160000}"/>
    <cellStyle name="Normal 4 8 3 3 2" xfId="22539" xr:uid="{51A7914D-98C3-4034-BCD2-D823039F365D}"/>
    <cellStyle name="Normal 4 8 3 3 3" xfId="14098" xr:uid="{671FF02F-2DA7-4000-8A5D-2B16F56E9F6E}"/>
    <cellStyle name="Normal 4 8 3 4" xfId="18321" xr:uid="{018CB982-EC92-4BFD-B2F9-C7BA16BBF057}"/>
    <cellStyle name="Normal 4 8 3 5" xfId="9847" xr:uid="{DF9AD2D9-2E80-44FF-A389-384386F47771}"/>
    <cellStyle name="Normal 4 8 4" xfId="1710" xr:uid="{00000000-0005-0000-0000-0000D2160000}"/>
    <cellStyle name="Normal 4 8 4 2" xfId="3940" xr:uid="{00000000-0005-0000-0000-0000D3160000}"/>
    <cellStyle name="Normal 4 8 4 2 2" xfId="8162" xr:uid="{00000000-0005-0000-0000-0000D4160000}"/>
    <cellStyle name="Normal 4 8 4 2 2 2" xfId="25097" xr:uid="{98B0294F-8D7F-474D-940B-F84FA9933351}"/>
    <cellStyle name="Normal 4 8 4 2 2 3" xfId="16656" xr:uid="{EA414914-D925-4852-B0F3-D3588DB91853}"/>
    <cellStyle name="Normal 4 8 4 2 3" xfId="20879" xr:uid="{907D84C7-8CEB-46E6-9E75-3FEF0645C756}"/>
    <cellStyle name="Normal 4 8 4 2 4" xfId="12437" xr:uid="{63BAC7A6-237D-4299-B7DE-5C6487B4C4DC}"/>
    <cellStyle name="Normal 4 8 4 3" xfId="6017" xr:uid="{00000000-0005-0000-0000-0000D5160000}"/>
    <cellStyle name="Normal 4 8 4 3 2" xfId="22952" xr:uid="{01022335-E44D-4B23-AEF0-53B65C8962F5}"/>
    <cellStyle name="Normal 4 8 4 3 3" xfId="14511" xr:uid="{82888308-7EAE-4974-B86A-29327AA83603}"/>
    <cellStyle name="Normal 4 8 4 4" xfId="18734" xr:uid="{6CF428A7-0145-436A-A008-0409AFB67F51}"/>
    <cellStyle name="Normal 4 8 4 5" xfId="10260" xr:uid="{1E428A9D-C9AD-4E26-AC17-69157541370E}"/>
    <cellStyle name="Normal 4 8 5" xfId="2124" xr:uid="{00000000-0005-0000-0000-0000D6160000}"/>
    <cellStyle name="Normal 4 8 5 2" xfId="4353" xr:uid="{00000000-0005-0000-0000-0000D7160000}"/>
    <cellStyle name="Normal 4 8 5 2 2" xfId="8575" xr:uid="{00000000-0005-0000-0000-0000D8160000}"/>
    <cellStyle name="Normal 4 8 5 2 2 2" xfId="25510" xr:uid="{EFEC5F83-B61D-485F-AA8C-EC38E5429E68}"/>
    <cellStyle name="Normal 4 8 5 2 2 3" xfId="17069" xr:uid="{656BD63D-9E9F-40BD-8701-1D82F82A6D73}"/>
    <cellStyle name="Normal 4 8 5 2 3" xfId="21292" xr:uid="{14AA1F03-67A2-424C-B7FF-027E9835AA96}"/>
    <cellStyle name="Normal 4 8 5 2 4" xfId="12850" xr:uid="{F0288178-EDF0-4871-BC45-09A1130223F4}"/>
    <cellStyle name="Normal 4 8 5 3" xfId="6430" xr:uid="{00000000-0005-0000-0000-0000D9160000}"/>
    <cellStyle name="Normal 4 8 5 3 2" xfId="23365" xr:uid="{734E965F-532E-4657-9B78-8AD4C18542BB}"/>
    <cellStyle name="Normal 4 8 5 3 3" xfId="14924" xr:uid="{54847D52-23DC-4B73-8BB9-CD83B985380E}"/>
    <cellStyle name="Normal 4 8 5 4" xfId="19147" xr:uid="{467D5291-018F-4E31-AF1C-F02070F16737}"/>
    <cellStyle name="Normal 4 8 5 5" xfId="10673" xr:uid="{571288CC-BCD3-4B32-A2E4-76DD23CA2F66}"/>
    <cellStyle name="Normal 4 8 6" xfId="2560" xr:uid="{00000000-0005-0000-0000-0000DA160000}"/>
    <cellStyle name="Normal 4 8 6 2" xfId="6843" xr:uid="{00000000-0005-0000-0000-0000DB160000}"/>
    <cellStyle name="Normal 4 8 6 2 2" xfId="23778" xr:uid="{77E4E9E9-65B7-4CF7-81CA-C4D0C520B610}"/>
    <cellStyle name="Normal 4 8 6 2 3" xfId="15337" xr:uid="{F9BD400E-2B78-432A-8F7A-F2D721127062}"/>
    <cellStyle name="Normal 4 8 6 3" xfId="19560" xr:uid="{C630CA70-3098-4D4A-A41E-81B2E4A126D4}"/>
    <cellStyle name="Normal 4 8 6 4" xfId="11108" xr:uid="{FEE6818D-C2CA-49B4-8E1E-1AABDF23B3EB}"/>
    <cellStyle name="Normal 4 8 7" xfId="4778" xr:uid="{00000000-0005-0000-0000-0000DC160000}"/>
    <cellStyle name="Normal 4 8 7 2" xfId="21713" xr:uid="{E69B2E6E-535F-4012-AD3C-C9979257A729}"/>
    <cellStyle name="Normal 4 8 7 3" xfId="13272" xr:uid="{6CDB9C59-FBED-4ADB-8B37-958AD6806FF6}"/>
    <cellStyle name="Normal 4 8 8" xfId="17495" xr:uid="{DBDAD1B0-995E-4904-9EDB-21E2EAD5323C}"/>
    <cellStyle name="Normal 4 8 9" xfId="9020" xr:uid="{55EA774B-F0B5-4A92-944B-66378E04A3EF}"/>
    <cellStyle name="Normal 4 9" xfId="4715" xr:uid="{00000000-0005-0000-0000-0000DD160000}"/>
    <cellStyle name="Normal 4 9 2" xfId="21650" xr:uid="{072F401B-6943-4578-B5F0-45A809285ABE}"/>
    <cellStyle name="Normal 4 9 3" xfId="13209" xr:uid="{833E7A3D-066E-40B8-9E49-393255464E1E}"/>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098" xr:uid="{88FAF035-9A02-4716-AFC2-AC6A0A7AEC8B}"/>
    <cellStyle name="Normal 5 10 2 2 3" xfId="16657" xr:uid="{1CFAFBB0-5831-4559-8835-AFA046996651}"/>
    <cellStyle name="Normal 5 10 2 3" xfId="20880" xr:uid="{C9DC77F1-7864-41AE-BC4E-F015B7A00A83}"/>
    <cellStyle name="Normal 5 10 2 4" xfId="12438" xr:uid="{8A8A8768-B949-4025-AAAA-0766743A0BAB}"/>
    <cellStyle name="Normal 5 10 3" xfId="6018" xr:uid="{00000000-0005-0000-0000-0000E2160000}"/>
    <cellStyle name="Normal 5 10 3 2" xfId="22953" xr:uid="{B6BFCBE2-CC5B-4B1E-9B45-BC023276E699}"/>
    <cellStyle name="Normal 5 10 3 3" xfId="14512" xr:uid="{665C088F-BDE8-4D5D-8479-F9B6E5421CF2}"/>
    <cellStyle name="Normal 5 10 4" xfId="18735" xr:uid="{1FC7B027-47F6-4682-BA1A-F0B82EE8C80B}"/>
    <cellStyle name="Normal 5 10 5" xfId="10261" xr:uid="{731A5E19-2224-486D-A09C-34ED159A2459}"/>
    <cellStyle name="Normal 5 11" xfId="2125" xr:uid="{00000000-0005-0000-0000-0000E3160000}"/>
    <cellStyle name="Normal 5 11 2" xfId="4354" xr:uid="{00000000-0005-0000-0000-0000E4160000}"/>
    <cellStyle name="Normal 5 11 2 2" xfId="8576" xr:uid="{00000000-0005-0000-0000-0000E5160000}"/>
    <cellStyle name="Normal 5 11 2 2 2" xfId="25511" xr:uid="{3BDDE540-1DEE-48AE-8F00-6A823E8ED002}"/>
    <cellStyle name="Normal 5 11 2 2 3" xfId="17070" xr:uid="{9762B2F5-589A-4AC8-8593-FEE5E9097AD2}"/>
    <cellStyle name="Normal 5 11 2 3" xfId="21293" xr:uid="{D592CB7C-BA3E-4D1B-AEC2-2B07BA79253D}"/>
    <cellStyle name="Normal 5 11 2 4" xfId="12851" xr:uid="{0EBADED1-7251-4D6A-A2B5-688E8421D2FE}"/>
    <cellStyle name="Normal 5 11 3" xfId="6431" xr:uid="{00000000-0005-0000-0000-0000E6160000}"/>
    <cellStyle name="Normal 5 11 3 2" xfId="23366" xr:uid="{17D2BBDC-5C60-4B82-A7A6-9BD332FCDD29}"/>
    <cellStyle name="Normal 5 11 3 3" xfId="14925" xr:uid="{34879E9E-5387-4966-8866-52261046CCC5}"/>
    <cellStyle name="Normal 5 11 4" xfId="19148" xr:uid="{6A9625CA-E726-4F05-95FA-F3807BCF1B2E}"/>
    <cellStyle name="Normal 5 11 5" xfId="10674" xr:uid="{F85228B4-6527-4AA4-B306-2FF32FD40C70}"/>
    <cellStyle name="Normal 5 12" xfId="2561" xr:uid="{00000000-0005-0000-0000-0000E7160000}"/>
    <cellStyle name="Normal 5 12 2" xfId="6844" xr:uid="{00000000-0005-0000-0000-0000E8160000}"/>
    <cellStyle name="Normal 5 12 2 2" xfId="23779" xr:uid="{7FA0D54D-3F2A-48ED-A900-B23BFA897486}"/>
    <cellStyle name="Normal 5 12 2 3" xfId="15338" xr:uid="{6004A321-D303-4EAC-B06D-211B4E6F7FF4}"/>
    <cellStyle name="Normal 5 12 3" xfId="19561" xr:uid="{CDA0CCF3-B361-4B4A-BD1A-7709B0E3DFEC}"/>
    <cellStyle name="Normal 5 12 4" xfId="11109" xr:uid="{406B9310-6683-40F3-9467-3107C3B59198}"/>
    <cellStyle name="Normal 5 13" xfId="4779" xr:uid="{00000000-0005-0000-0000-0000E9160000}"/>
    <cellStyle name="Normal 5 13 2" xfId="21714" xr:uid="{3FD1877E-414D-46D6-A412-31D12FC709E1}"/>
    <cellStyle name="Normal 5 13 3" xfId="13273" xr:uid="{F89E8C8A-E553-4645-B6D0-5ACC06256496}"/>
    <cellStyle name="Normal 5 14" xfId="17496" xr:uid="{B29D9848-212C-42B4-8812-72A65AFB43C2}"/>
    <cellStyle name="Normal 5 15" xfId="9021" xr:uid="{BF7D942A-52F0-41DE-B3FB-D8E3C0DA8FE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5512" xr:uid="{2518C762-22CE-4B59-A4B4-B21DEDFEEB88}"/>
    <cellStyle name="Normal 5 2 10 2 2 3" xfId="17071" xr:uid="{5BB79488-C2CB-4BF9-8219-9C3EAA2A18E6}"/>
    <cellStyle name="Normal 5 2 10 2 3" xfId="21294" xr:uid="{57B13CDB-A6A4-43BF-AEE8-215A1BABAEA5}"/>
    <cellStyle name="Normal 5 2 10 2 4" xfId="12852" xr:uid="{CD60A482-3A76-43DA-A7D1-8EE783238B24}"/>
    <cellStyle name="Normal 5 2 10 3" xfId="6432" xr:uid="{00000000-0005-0000-0000-0000EE160000}"/>
    <cellStyle name="Normal 5 2 10 3 2" xfId="23367" xr:uid="{1855590A-9A1E-4843-8166-0C46ED35AEEE}"/>
    <cellStyle name="Normal 5 2 10 3 3" xfId="14926" xr:uid="{6AC4543A-B806-4A00-83CA-E6A96EC79875}"/>
    <cellStyle name="Normal 5 2 10 4" xfId="19149" xr:uid="{40364725-B5FB-4483-839D-D82930F2F02F}"/>
    <cellStyle name="Normal 5 2 10 5" xfId="10675" xr:uid="{8E1CD84F-46EB-4E92-A9A7-8A5EFFD70501}"/>
    <cellStyle name="Normal 5 2 11" xfId="2562" xr:uid="{00000000-0005-0000-0000-0000EF160000}"/>
    <cellStyle name="Normal 5 2 11 2" xfId="6845" xr:uid="{00000000-0005-0000-0000-0000F0160000}"/>
    <cellStyle name="Normal 5 2 11 2 2" xfId="23780" xr:uid="{927BABB4-831F-4588-8B37-E87DFDEA9966}"/>
    <cellStyle name="Normal 5 2 11 2 3" xfId="15339" xr:uid="{680F6FDB-EC1C-469D-A94F-3E678BED7DA2}"/>
    <cellStyle name="Normal 5 2 11 3" xfId="19562" xr:uid="{455D44E1-7282-4C2B-9997-48EBD2F95142}"/>
    <cellStyle name="Normal 5 2 11 4" xfId="11110" xr:uid="{32F1F592-675F-4213-BC08-A700F249A3AA}"/>
    <cellStyle name="Normal 5 2 12" xfId="4780" xr:uid="{00000000-0005-0000-0000-0000F1160000}"/>
    <cellStyle name="Normal 5 2 12 2" xfId="21715" xr:uid="{43174FFC-8CC5-4650-AA53-BF6CA065D172}"/>
    <cellStyle name="Normal 5 2 12 3" xfId="13274" xr:uid="{A9108999-7F13-4C4B-8702-C20DB506E074}"/>
    <cellStyle name="Normal 5 2 13" xfId="17497" xr:uid="{774DDF2C-0CD1-4AC0-992B-8A9D5615AA5A}"/>
    <cellStyle name="Normal 5 2 14" xfId="9022" xr:uid="{D1DD0E35-85C2-4908-A0D1-EBC5BDE6EA0C}"/>
    <cellStyle name="Normal 5 2 2" xfId="408" xr:uid="{00000000-0005-0000-0000-0000F2160000}"/>
    <cellStyle name="Normal 5 2 2 10" xfId="2563" xr:uid="{00000000-0005-0000-0000-0000F3160000}"/>
    <cellStyle name="Normal 5 2 2 10 2" xfId="6846" xr:uid="{00000000-0005-0000-0000-0000F4160000}"/>
    <cellStyle name="Normal 5 2 2 10 2 2" xfId="23781" xr:uid="{C8E57606-0247-484C-8A26-99238F374D77}"/>
    <cellStyle name="Normal 5 2 2 10 2 3" xfId="15340" xr:uid="{11C9DDA9-CFA0-4978-88F3-80DA58B0CEA3}"/>
    <cellStyle name="Normal 5 2 2 10 3" xfId="19563" xr:uid="{1B9B4C34-26FB-4464-9C03-CF5BDC1BEFD6}"/>
    <cellStyle name="Normal 5 2 2 10 4" xfId="11111" xr:uid="{0F8509E1-6CBB-4A08-A8B1-655897C822B9}"/>
    <cellStyle name="Normal 5 2 2 11" xfId="4781" xr:uid="{00000000-0005-0000-0000-0000F5160000}"/>
    <cellStyle name="Normal 5 2 2 11 2" xfId="21716" xr:uid="{E230D9A8-6CAB-487A-9CD8-3DC5062CA3A1}"/>
    <cellStyle name="Normal 5 2 2 11 3" xfId="13275" xr:uid="{68A0E64A-5D06-4CFA-875D-C2A1959DBD7C}"/>
    <cellStyle name="Normal 5 2 2 12" xfId="17498" xr:uid="{87901211-24D9-4E5B-BDB7-134BA4DF74FD}"/>
    <cellStyle name="Normal 5 2 2 13" xfId="9023" xr:uid="{D9B95F7E-B331-4DF1-BEDF-4520F32C86F7}"/>
    <cellStyle name="Normal 5 2 2 2" xfId="409" xr:uid="{00000000-0005-0000-0000-0000F6160000}"/>
    <cellStyle name="Normal 5 2 2 2 10" xfId="4782" xr:uid="{00000000-0005-0000-0000-0000F7160000}"/>
    <cellStyle name="Normal 5 2 2 2 10 2" xfId="21717" xr:uid="{DEEC9178-C713-43FF-B34B-F6BB140C8677}"/>
    <cellStyle name="Normal 5 2 2 2 10 3" xfId="13276" xr:uid="{A4E9B37A-542A-4FE3-B12B-050D9C682DB6}"/>
    <cellStyle name="Normal 5 2 2 2 11" xfId="17499" xr:uid="{DC8C86BA-E3FF-4C5F-86C0-63ED3D0812CD}"/>
    <cellStyle name="Normal 5 2 2 2 12" xfId="9024" xr:uid="{323AF719-BA51-4141-98F0-4A99CCF5E244}"/>
    <cellStyle name="Normal 5 2 2 2 2" xfId="410" xr:uid="{00000000-0005-0000-0000-0000F8160000}"/>
    <cellStyle name="Normal 5 2 2 2 2 10" xfId="17500" xr:uid="{AC2759AA-947B-43DF-BDEF-47588E822C18}"/>
    <cellStyle name="Normal 5 2 2 2 2 11" xfId="9025" xr:uid="{7436241C-4F74-4784-B2D9-273D47A5EF3D}"/>
    <cellStyle name="Normal 5 2 2 2 2 2" xfId="411" xr:uid="{00000000-0005-0000-0000-0000F9160000}"/>
    <cellStyle name="Normal 5 2 2 2 2 2 10" xfId="9026" xr:uid="{C67AD023-4764-4F4E-8AD9-5B4442134916}"/>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4278" xr:uid="{20BC544F-F758-4F62-A69D-85EF28CA8CD5}"/>
    <cellStyle name="Normal 5 2 2 2 2 2 2 2 2 2 3" xfId="15837" xr:uid="{76B29F6A-85AB-4840-A2C2-CE8E1F5276A6}"/>
    <cellStyle name="Normal 5 2 2 2 2 2 2 2 2 3" xfId="20060" xr:uid="{1BA80A52-AF4C-450E-B29A-8AED65D91903}"/>
    <cellStyle name="Normal 5 2 2 2 2 2 2 2 2 4" xfId="11618" xr:uid="{FEFA32E4-2A85-4FBE-9157-C8E8957FC745}"/>
    <cellStyle name="Normal 5 2 2 2 2 2 2 2 3" xfId="5198" xr:uid="{00000000-0005-0000-0000-0000FE160000}"/>
    <cellStyle name="Normal 5 2 2 2 2 2 2 2 3 2" xfId="22133" xr:uid="{64651F21-D988-4294-94D7-54FCE7CAD6D3}"/>
    <cellStyle name="Normal 5 2 2 2 2 2 2 2 3 3" xfId="13692" xr:uid="{625A4B84-D5F6-4310-A76A-41BCDE81888F}"/>
    <cellStyle name="Normal 5 2 2 2 2 2 2 2 4" xfId="17915" xr:uid="{5C497890-03C5-44F6-8F75-30159F2241B0}"/>
    <cellStyle name="Normal 5 2 2 2 2 2 2 2 5" xfId="9441" xr:uid="{8E9C93F0-7725-4D46-AB98-84C4123D2B9B}"/>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4691" xr:uid="{7B9982B3-08F7-47FF-8E94-CF419EEAA38A}"/>
    <cellStyle name="Normal 5 2 2 2 2 2 2 3 2 2 3" xfId="16250" xr:uid="{5FE20423-4A71-4E45-8C21-7D3C6B5B1284}"/>
    <cellStyle name="Normal 5 2 2 2 2 2 2 3 2 3" xfId="20473" xr:uid="{158CB589-E701-41AE-81BC-9F7E76021ACA}"/>
    <cellStyle name="Normal 5 2 2 2 2 2 2 3 2 4" xfId="12031" xr:uid="{5D92DFC2-6138-41FD-8742-1CAA081EA669}"/>
    <cellStyle name="Normal 5 2 2 2 2 2 2 3 3" xfId="5611" xr:uid="{00000000-0005-0000-0000-000002170000}"/>
    <cellStyle name="Normal 5 2 2 2 2 2 2 3 3 2" xfId="22546" xr:uid="{E5805FE2-C83B-4D46-8C51-24B1B5EB0FF1}"/>
    <cellStyle name="Normal 5 2 2 2 2 2 2 3 3 3" xfId="14105" xr:uid="{E89BEF21-69ED-4306-8199-5EFF8185FB7A}"/>
    <cellStyle name="Normal 5 2 2 2 2 2 2 3 4" xfId="18328" xr:uid="{607D4DD5-EE4B-4E42-AA06-1C0A1EAF9C54}"/>
    <cellStyle name="Normal 5 2 2 2 2 2 2 3 5" xfId="9854" xr:uid="{6ED24CDA-1DF6-412F-A55B-39C7EC67CD69}"/>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104" xr:uid="{AD99DEED-81C2-41EA-9FB8-CF2D53A4D4BC}"/>
    <cellStyle name="Normal 5 2 2 2 2 2 2 4 2 2 3" xfId="16663" xr:uid="{260A9C6B-6F95-4A97-BB85-BD47F3388883}"/>
    <cellStyle name="Normal 5 2 2 2 2 2 2 4 2 3" xfId="20886" xr:uid="{81623312-364C-49DA-9C20-7C7AFB25AD66}"/>
    <cellStyle name="Normal 5 2 2 2 2 2 2 4 2 4" xfId="12444" xr:uid="{C2554122-7C68-424F-B348-ECE9325BB8A4}"/>
    <cellStyle name="Normal 5 2 2 2 2 2 2 4 3" xfId="6024" xr:uid="{00000000-0005-0000-0000-000006170000}"/>
    <cellStyle name="Normal 5 2 2 2 2 2 2 4 3 2" xfId="22959" xr:uid="{5953B900-FD0E-4687-AFDC-95EC523D7256}"/>
    <cellStyle name="Normal 5 2 2 2 2 2 2 4 3 3" xfId="14518" xr:uid="{A6EB7E01-5049-4A0E-9C57-9F2A98406C9D}"/>
    <cellStyle name="Normal 5 2 2 2 2 2 2 4 4" xfId="18741" xr:uid="{CFEABFD3-635D-48BE-951D-ED717B707377}"/>
    <cellStyle name="Normal 5 2 2 2 2 2 2 4 5" xfId="10267" xr:uid="{268E326F-C8C8-4E4E-8B07-4BCC27800B8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5517" xr:uid="{B9B2B9E3-078C-4CA4-8D5B-A81AC4523E94}"/>
    <cellStyle name="Normal 5 2 2 2 2 2 2 5 2 2 3" xfId="17076" xr:uid="{B147933D-CB5B-4A80-AF4E-A60E48FB410E}"/>
    <cellStyle name="Normal 5 2 2 2 2 2 2 5 2 3" xfId="21299" xr:uid="{1B47D6FA-AF57-45CD-9F48-BFE40B43146A}"/>
    <cellStyle name="Normal 5 2 2 2 2 2 2 5 2 4" xfId="12857" xr:uid="{E5CBACF7-645F-4340-8072-E99791C5F367}"/>
    <cellStyle name="Normal 5 2 2 2 2 2 2 5 3" xfId="6437" xr:uid="{00000000-0005-0000-0000-00000A170000}"/>
    <cellStyle name="Normal 5 2 2 2 2 2 2 5 3 2" xfId="23372" xr:uid="{40B27D7E-14A0-40F1-B1E0-BC73187F5050}"/>
    <cellStyle name="Normal 5 2 2 2 2 2 2 5 3 3" xfId="14931" xr:uid="{B0AE09C6-9CF0-4080-8B10-1C4E8A24FCEC}"/>
    <cellStyle name="Normal 5 2 2 2 2 2 2 5 4" xfId="19154" xr:uid="{9958F93A-4CCA-4CA2-AF83-F2C04FE1DDFB}"/>
    <cellStyle name="Normal 5 2 2 2 2 2 2 5 5" xfId="10680" xr:uid="{47C78F42-AFCE-4F24-8DAD-83ADA919AD2F}"/>
    <cellStyle name="Normal 5 2 2 2 2 2 2 6" xfId="2567" xr:uid="{00000000-0005-0000-0000-00000B170000}"/>
    <cellStyle name="Normal 5 2 2 2 2 2 2 6 2" xfId="6850" xr:uid="{00000000-0005-0000-0000-00000C170000}"/>
    <cellStyle name="Normal 5 2 2 2 2 2 2 6 2 2" xfId="23785" xr:uid="{169E968E-5D06-4AE7-B8B0-B92EC8D40C1F}"/>
    <cellStyle name="Normal 5 2 2 2 2 2 2 6 2 3" xfId="15344" xr:uid="{A0EFE43E-F846-42D7-9EA9-5B9590BDE21D}"/>
    <cellStyle name="Normal 5 2 2 2 2 2 2 6 3" xfId="19567" xr:uid="{D486D999-DA41-4652-8E48-6E82EB904DE1}"/>
    <cellStyle name="Normal 5 2 2 2 2 2 2 6 4" xfId="11115" xr:uid="{4C2E68ED-34C0-4AAD-986C-00932F766B8B}"/>
    <cellStyle name="Normal 5 2 2 2 2 2 2 7" xfId="4785" xr:uid="{00000000-0005-0000-0000-00000D170000}"/>
    <cellStyle name="Normal 5 2 2 2 2 2 2 7 2" xfId="21720" xr:uid="{73D0E0D0-489C-4638-B641-EEB0199C1651}"/>
    <cellStyle name="Normal 5 2 2 2 2 2 2 7 3" xfId="13279" xr:uid="{B7013002-CF04-4232-812F-49783776A7E4}"/>
    <cellStyle name="Normal 5 2 2 2 2 2 2 8" xfId="17502" xr:uid="{7FBD1FA5-BE9F-46A1-886A-6B43D61C720A}"/>
    <cellStyle name="Normal 5 2 2 2 2 2 2 9" xfId="9027" xr:uid="{38FE34F6-349F-46F0-8DFC-48BBB780A2EC}"/>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4277" xr:uid="{58EA11AF-4168-4AB2-961A-720F2376503C}"/>
    <cellStyle name="Normal 5 2 2 2 2 2 3 2 2 3" xfId="15836" xr:uid="{E55E030F-6A50-4ABD-9FF3-F86A77D01AD9}"/>
    <cellStyle name="Normal 5 2 2 2 2 2 3 2 3" xfId="20059" xr:uid="{576D9F02-F8E5-41D7-B638-DE010E08077D}"/>
    <cellStyle name="Normal 5 2 2 2 2 2 3 2 4" xfId="11617" xr:uid="{490C9070-E495-4FB7-B978-B992C163CDC4}"/>
    <cellStyle name="Normal 5 2 2 2 2 2 3 3" xfId="5197" xr:uid="{00000000-0005-0000-0000-000011170000}"/>
    <cellStyle name="Normal 5 2 2 2 2 2 3 3 2" xfId="22132" xr:uid="{8C21F126-0F19-4393-89ED-388F6765A894}"/>
    <cellStyle name="Normal 5 2 2 2 2 2 3 3 3" xfId="13691" xr:uid="{1047A3A0-4F92-42C1-A558-77923941EB36}"/>
    <cellStyle name="Normal 5 2 2 2 2 2 3 4" xfId="17914" xr:uid="{96A91306-8B02-4CDE-A7CF-A317BCB0DE31}"/>
    <cellStyle name="Normal 5 2 2 2 2 2 3 5" xfId="9440" xr:uid="{B8474E39-84BB-4DE1-A010-578178BFE5AD}"/>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4690" xr:uid="{3DFEF89B-0A03-47B4-8F41-853639BD9B32}"/>
    <cellStyle name="Normal 5 2 2 2 2 2 4 2 2 3" xfId="16249" xr:uid="{BBEB2D3C-E8CD-4EA9-A608-2B8AC3A668CC}"/>
    <cellStyle name="Normal 5 2 2 2 2 2 4 2 3" xfId="20472" xr:uid="{7ADA929D-5569-441A-83E3-0AF475AE8F10}"/>
    <cellStyle name="Normal 5 2 2 2 2 2 4 2 4" xfId="12030" xr:uid="{2BBFFE7C-D553-4F1E-9022-B5E7E1A0FFC0}"/>
    <cellStyle name="Normal 5 2 2 2 2 2 4 3" xfId="5610" xr:uid="{00000000-0005-0000-0000-000015170000}"/>
    <cellStyle name="Normal 5 2 2 2 2 2 4 3 2" xfId="22545" xr:uid="{8A36883B-4595-4507-9EF4-2E64CE0AA1D6}"/>
    <cellStyle name="Normal 5 2 2 2 2 2 4 3 3" xfId="14104" xr:uid="{2B1C6DA8-CBF5-4F11-B218-37F17876F36D}"/>
    <cellStyle name="Normal 5 2 2 2 2 2 4 4" xfId="18327" xr:uid="{C713FA99-00CB-4FFE-BF19-81600B2416F0}"/>
    <cellStyle name="Normal 5 2 2 2 2 2 4 5" xfId="9853" xr:uid="{2DD1E83F-A792-4A22-8115-2E92C89223A8}"/>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103" xr:uid="{8BB75E31-5108-407C-99B0-278A5C2ECF6F}"/>
    <cellStyle name="Normal 5 2 2 2 2 2 5 2 2 3" xfId="16662" xr:uid="{6C26CCCC-77FD-41A6-89CE-05E055346C64}"/>
    <cellStyle name="Normal 5 2 2 2 2 2 5 2 3" xfId="20885" xr:uid="{43702A8D-1478-4A68-A557-32576CC578CB}"/>
    <cellStyle name="Normal 5 2 2 2 2 2 5 2 4" xfId="12443" xr:uid="{B4DD3DDC-DF9E-41FF-89D0-C5559E821885}"/>
    <cellStyle name="Normal 5 2 2 2 2 2 5 3" xfId="6023" xr:uid="{00000000-0005-0000-0000-000019170000}"/>
    <cellStyle name="Normal 5 2 2 2 2 2 5 3 2" xfId="22958" xr:uid="{01841219-A7A7-4F0B-B257-5AD44DC14F28}"/>
    <cellStyle name="Normal 5 2 2 2 2 2 5 3 3" xfId="14517" xr:uid="{4181BD61-CF26-45D6-8C27-1383BF6E9A20}"/>
    <cellStyle name="Normal 5 2 2 2 2 2 5 4" xfId="18740" xr:uid="{A39A7089-2B80-4644-B986-7A7A642AC8AB}"/>
    <cellStyle name="Normal 5 2 2 2 2 2 5 5" xfId="10266" xr:uid="{116095E7-1D45-40F1-AB1D-43DB54EB3426}"/>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5516" xr:uid="{7E58AA4A-AD47-4DD2-901D-266905D9613A}"/>
    <cellStyle name="Normal 5 2 2 2 2 2 6 2 2 3" xfId="17075" xr:uid="{F9309644-6276-4035-ADD5-001ADC729525}"/>
    <cellStyle name="Normal 5 2 2 2 2 2 6 2 3" xfId="21298" xr:uid="{B911DD3F-C509-4384-BFE0-999C36400014}"/>
    <cellStyle name="Normal 5 2 2 2 2 2 6 2 4" xfId="12856" xr:uid="{8771F7EE-82D2-430C-BAC6-30912674E6D9}"/>
    <cellStyle name="Normal 5 2 2 2 2 2 6 3" xfId="6436" xr:uid="{00000000-0005-0000-0000-00001D170000}"/>
    <cellStyle name="Normal 5 2 2 2 2 2 6 3 2" xfId="23371" xr:uid="{16A16D90-EB66-48D1-8755-BD21D71141F3}"/>
    <cellStyle name="Normal 5 2 2 2 2 2 6 3 3" xfId="14930" xr:uid="{4342EEB7-8D59-4CF7-8901-46AC899F28FD}"/>
    <cellStyle name="Normal 5 2 2 2 2 2 6 4" xfId="19153" xr:uid="{5979449F-641C-4640-9675-34E5C585A36C}"/>
    <cellStyle name="Normal 5 2 2 2 2 2 6 5" xfId="10679" xr:uid="{F74F192C-5E5D-4F26-91C7-E5D672CCE27D}"/>
    <cellStyle name="Normal 5 2 2 2 2 2 7" xfId="2566" xr:uid="{00000000-0005-0000-0000-00001E170000}"/>
    <cellStyle name="Normal 5 2 2 2 2 2 7 2" xfId="6849" xr:uid="{00000000-0005-0000-0000-00001F170000}"/>
    <cellStyle name="Normal 5 2 2 2 2 2 7 2 2" xfId="23784" xr:uid="{23AF436C-F0E3-4DFB-8709-670F536CB995}"/>
    <cellStyle name="Normal 5 2 2 2 2 2 7 2 3" xfId="15343" xr:uid="{692DD53E-26B8-4CEA-96E0-8E4C8136660A}"/>
    <cellStyle name="Normal 5 2 2 2 2 2 7 3" xfId="19566" xr:uid="{11608102-5E0D-4BF1-BC2C-30D3535B86F2}"/>
    <cellStyle name="Normal 5 2 2 2 2 2 7 4" xfId="11114" xr:uid="{E42FD017-D96B-4571-90AA-A12ABDECC47D}"/>
    <cellStyle name="Normal 5 2 2 2 2 2 8" xfId="4784" xr:uid="{00000000-0005-0000-0000-000020170000}"/>
    <cellStyle name="Normal 5 2 2 2 2 2 8 2" xfId="21719" xr:uid="{A0C695E5-775B-4056-AD1E-126957AC50A6}"/>
    <cellStyle name="Normal 5 2 2 2 2 2 8 3" xfId="13278" xr:uid="{73BFD7AF-6E95-48A3-8DBD-7E20D383DA2B}"/>
    <cellStyle name="Normal 5 2 2 2 2 2 9" xfId="17501" xr:uid="{AB3528D6-BBE8-48CE-BE07-E9F362E416C8}"/>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4279" xr:uid="{9163860D-530A-4FC9-AFAA-2C5FF0D982B6}"/>
    <cellStyle name="Normal 5 2 2 2 2 3 2 2 2 3" xfId="15838" xr:uid="{CC940020-2AD6-4CB3-9768-121874EDCF8E}"/>
    <cellStyle name="Normal 5 2 2 2 2 3 2 2 3" xfId="20061" xr:uid="{87F18788-10C4-420E-9764-9ACC5E396470}"/>
    <cellStyle name="Normal 5 2 2 2 2 3 2 2 4" xfId="11619" xr:uid="{48B1AF25-01F1-486D-8FFB-72416C66B5FA}"/>
    <cellStyle name="Normal 5 2 2 2 2 3 2 3" xfId="5199" xr:uid="{00000000-0005-0000-0000-000025170000}"/>
    <cellStyle name="Normal 5 2 2 2 2 3 2 3 2" xfId="22134" xr:uid="{C9E7EECC-95D7-4424-B7B3-1A0BB1B488FC}"/>
    <cellStyle name="Normal 5 2 2 2 2 3 2 3 3" xfId="13693" xr:uid="{0B126E7C-A3D5-44D4-BAE0-300330C46F4F}"/>
    <cellStyle name="Normal 5 2 2 2 2 3 2 4" xfId="17916" xr:uid="{9402958E-7B41-4998-BD4C-6FA48021A50C}"/>
    <cellStyle name="Normal 5 2 2 2 2 3 2 5" xfId="9442" xr:uid="{B55C4485-9778-41BD-9018-B5C2F3067D26}"/>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4692" xr:uid="{8D0CF9E8-B392-46DA-83B7-F00780FF015A}"/>
    <cellStyle name="Normal 5 2 2 2 2 3 3 2 2 3" xfId="16251" xr:uid="{73BA7BE6-B2CC-47AE-BF3B-1608A3DDA6C7}"/>
    <cellStyle name="Normal 5 2 2 2 2 3 3 2 3" xfId="20474" xr:uid="{D05B8044-2B53-4EF9-A792-E0D2D3FF31D1}"/>
    <cellStyle name="Normal 5 2 2 2 2 3 3 2 4" xfId="12032" xr:uid="{8C45C531-C485-403F-96DD-C610B4BFDD96}"/>
    <cellStyle name="Normal 5 2 2 2 2 3 3 3" xfId="5612" xr:uid="{00000000-0005-0000-0000-000029170000}"/>
    <cellStyle name="Normal 5 2 2 2 2 3 3 3 2" xfId="22547" xr:uid="{AAD96AB0-EEDD-46DA-9262-C46D6E7345F1}"/>
    <cellStyle name="Normal 5 2 2 2 2 3 3 3 3" xfId="14106" xr:uid="{D3BE962B-8F99-4786-8422-549AFA647640}"/>
    <cellStyle name="Normal 5 2 2 2 2 3 3 4" xfId="18329" xr:uid="{C63A22CD-CD94-448C-A14E-6D0AE67517E2}"/>
    <cellStyle name="Normal 5 2 2 2 2 3 3 5" xfId="9855" xr:uid="{EE9C45ED-19CE-4168-88CA-FCAFD9FDDBCC}"/>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105" xr:uid="{500D94F4-22EC-4300-9D7F-2737C6DAB0F4}"/>
    <cellStyle name="Normal 5 2 2 2 2 3 4 2 2 3" xfId="16664" xr:uid="{941DF715-644F-4A4B-BD1C-9AF59DA99576}"/>
    <cellStyle name="Normal 5 2 2 2 2 3 4 2 3" xfId="20887" xr:uid="{0ACD4C88-FAE8-43C5-82BF-009FE5817AA1}"/>
    <cellStyle name="Normal 5 2 2 2 2 3 4 2 4" xfId="12445" xr:uid="{93728412-5197-4E7A-AE0B-46DDB28A14ED}"/>
    <cellStyle name="Normal 5 2 2 2 2 3 4 3" xfId="6025" xr:uid="{00000000-0005-0000-0000-00002D170000}"/>
    <cellStyle name="Normal 5 2 2 2 2 3 4 3 2" xfId="22960" xr:uid="{2B3B85D0-5991-404F-96B9-2D1A06D7F2D6}"/>
    <cellStyle name="Normal 5 2 2 2 2 3 4 3 3" xfId="14519" xr:uid="{39D8995E-32EF-46D1-99A1-8A45092E7979}"/>
    <cellStyle name="Normal 5 2 2 2 2 3 4 4" xfId="18742" xr:uid="{FF96E322-AD56-4CED-B560-97E290DD2D03}"/>
    <cellStyle name="Normal 5 2 2 2 2 3 4 5" xfId="10268" xr:uid="{AFA9525C-2C47-4F7B-914C-DC5B08EE663F}"/>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5518" xr:uid="{0AC0FBD9-2817-479F-B157-E6C7F388D981}"/>
    <cellStyle name="Normal 5 2 2 2 2 3 5 2 2 3" xfId="17077" xr:uid="{DE8E7FB5-069A-4737-B9CC-C0EFE3A05C41}"/>
    <cellStyle name="Normal 5 2 2 2 2 3 5 2 3" xfId="21300" xr:uid="{8E5E4308-F2CB-49A5-AFFE-66D1A4710A5B}"/>
    <cellStyle name="Normal 5 2 2 2 2 3 5 2 4" xfId="12858" xr:uid="{ACE5F2B1-C197-4555-838D-17307C1CB31D}"/>
    <cellStyle name="Normal 5 2 2 2 2 3 5 3" xfId="6438" xr:uid="{00000000-0005-0000-0000-000031170000}"/>
    <cellStyle name="Normal 5 2 2 2 2 3 5 3 2" xfId="23373" xr:uid="{BF6A89EE-32E4-4A33-84EB-28C75E5ED156}"/>
    <cellStyle name="Normal 5 2 2 2 2 3 5 3 3" xfId="14932" xr:uid="{9B8BD4C1-1746-497A-A71D-BC430CC9AA19}"/>
    <cellStyle name="Normal 5 2 2 2 2 3 5 4" xfId="19155" xr:uid="{019A0E7A-62A3-447B-97C0-BF11DCBE7446}"/>
    <cellStyle name="Normal 5 2 2 2 2 3 5 5" xfId="10681" xr:uid="{6A1323DB-7103-49B8-95DD-0D62D9AEB2E7}"/>
    <cellStyle name="Normal 5 2 2 2 2 3 6" xfId="2568" xr:uid="{00000000-0005-0000-0000-000032170000}"/>
    <cellStyle name="Normal 5 2 2 2 2 3 6 2" xfId="6851" xr:uid="{00000000-0005-0000-0000-000033170000}"/>
    <cellStyle name="Normal 5 2 2 2 2 3 6 2 2" xfId="23786" xr:uid="{AD3114C5-BE66-48E3-82E6-E34FBC0C16AC}"/>
    <cellStyle name="Normal 5 2 2 2 2 3 6 2 3" xfId="15345" xr:uid="{1DC6103B-6EBE-451D-804C-F4FC09758779}"/>
    <cellStyle name="Normal 5 2 2 2 2 3 6 3" xfId="19568" xr:uid="{91274F17-B9F8-4723-8EEB-4C3DAC888C98}"/>
    <cellStyle name="Normal 5 2 2 2 2 3 6 4" xfId="11116" xr:uid="{49D5F3F6-D8B3-4CB4-BC8B-CDA5ECF1794A}"/>
    <cellStyle name="Normal 5 2 2 2 2 3 7" xfId="4786" xr:uid="{00000000-0005-0000-0000-000034170000}"/>
    <cellStyle name="Normal 5 2 2 2 2 3 7 2" xfId="21721" xr:uid="{26451675-AE0B-49AF-ADA0-7183AE7FE994}"/>
    <cellStyle name="Normal 5 2 2 2 2 3 7 3" xfId="13280" xr:uid="{CF374BA3-91BA-44F6-AC92-81B24957C67A}"/>
    <cellStyle name="Normal 5 2 2 2 2 3 8" xfId="17503" xr:uid="{70F2FE0F-9EB4-441F-96CD-A93EE89F5B58}"/>
    <cellStyle name="Normal 5 2 2 2 2 3 9" xfId="9028" xr:uid="{480C7911-1D46-4125-87FA-18CF7FF20AAE}"/>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4276" xr:uid="{E8D5A1BD-1974-4574-8499-2C5492EF08AA}"/>
    <cellStyle name="Normal 5 2 2 2 2 4 2 2 3" xfId="15835" xr:uid="{A254B750-F4CA-4D59-95A5-2A7604E951C9}"/>
    <cellStyle name="Normal 5 2 2 2 2 4 2 3" xfId="20058" xr:uid="{6D666643-1BA3-428E-ACDE-AD8EA568D257}"/>
    <cellStyle name="Normal 5 2 2 2 2 4 2 4" xfId="11616" xr:uid="{14D0AF6F-99C2-4BD5-BE93-801156184A4A}"/>
    <cellStyle name="Normal 5 2 2 2 2 4 3" xfId="5196" xr:uid="{00000000-0005-0000-0000-000038170000}"/>
    <cellStyle name="Normal 5 2 2 2 2 4 3 2" xfId="22131" xr:uid="{279963A5-24B9-49F0-9074-8CDCD1CAC26C}"/>
    <cellStyle name="Normal 5 2 2 2 2 4 3 3" xfId="13690" xr:uid="{4FC5395B-836A-48F2-8D6A-7EB449384A17}"/>
    <cellStyle name="Normal 5 2 2 2 2 4 4" xfId="17913" xr:uid="{A16D1C68-7F8A-4F9C-8032-CA5BEF26FB83}"/>
    <cellStyle name="Normal 5 2 2 2 2 4 5" xfId="9439" xr:uid="{BE797A51-32B8-469A-B74F-074155E7091D}"/>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4689" xr:uid="{178A586C-17E2-44FD-9CC6-2CBA98780049}"/>
    <cellStyle name="Normal 5 2 2 2 2 5 2 2 3" xfId="16248" xr:uid="{10A4260A-44FF-4F25-9A5A-02EDAEC84627}"/>
    <cellStyle name="Normal 5 2 2 2 2 5 2 3" xfId="20471" xr:uid="{923C1AA3-8205-43CA-8C26-7E8BC221EBF4}"/>
    <cellStyle name="Normal 5 2 2 2 2 5 2 4" xfId="12029" xr:uid="{6CE43B5C-5E10-4612-90B4-763022451988}"/>
    <cellStyle name="Normal 5 2 2 2 2 5 3" xfId="5609" xr:uid="{00000000-0005-0000-0000-00003C170000}"/>
    <cellStyle name="Normal 5 2 2 2 2 5 3 2" xfId="22544" xr:uid="{EF1D97CB-8926-4133-8353-248856B3B68D}"/>
    <cellStyle name="Normal 5 2 2 2 2 5 3 3" xfId="14103" xr:uid="{3C9F4DAE-7A82-4EEC-AF4B-D0E5B8417C9E}"/>
    <cellStyle name="Normal 5 2 2 2 2 5 4" xfId="18326" xr:uid="{CEF0044F-2556-4A8D-ADA4-471BAF7F6B3D}"/>
    <cellStyle name="Normal 5 2 2 2 2 5 5" xfId="9852" xr:uid="{C3DBA149-48A3-42AE-A98E-B2A9B304ABA9}"/>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102" xr:uid="{7621F7E3-9A71-4A0E-9CEA-6CDD6E1BC998}"/>
    <cellStyle name="Normal 5 2 2 2 2 6 2 2 3" xfId="16661" xr:uid="{40AF0698-7A2E-49B8-AAD4-649DDCA8B46A}"/>
    <cellStyle name="Normal 5 2 2 2 2 6 2 3" xfId="20884" xr:uid="{5AD2618A-577C-484D-A3B7-F1BFFFC3D2A6}"/>
    <cellStyle name="Normal 5 2 2 2 2 6 2 4" xfId="12442" xr:uid="{9B26F48F-A22E-4BD8-8CD0-F5694E2921D9}"/>
    <cellStyle name="Normal 5 2 2 2 2 6 3" xfId="6022" xr:uid="{00000000-0005-0000-0000-000040170000}"/>
    <cellStyle name="Normal 5 2 2 2 2 6 3 2" xfId="22957" xr:uid="{9C7B6DC0-6C87-470C-AA3A-0D654497D5AA}"/>
    <cellStyle name="Normal 5 2 2 2 2 6 3 3" xfId="14516" xr:uid="{521F6A11-193F-4CC3-9B13-C042D1FD645A}"/>
    <cellStyle name="Normal 5 2 2 2 2 6 4" xfId="18739" xr:uid="{E83A99A0-EAFD-4AB7-8BA1-B7B51E10CAC4}"/>
    <cellStyle name="Normal 5 2 2 2 2 6 5" xfId="10265" xr:uid="{1341181B-27F7-448C-974C-75E1B0516EEB}"/>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5515" xr:uid="{9C7E93D8-9F95-4E52-A73B-DF4E4556890C}"/>
    <cellStyle name="Normal 5 2 2 2 2 7 2 2 3" xfId="17074" xr:uid="{F1CB66F3-FDC9-4D59-ACC4-8EAFA088D40D}"/>
    <cellStyle name="Normal 5 2 2 2 2 7 2 3" xfId="21297" xr:uid="{360E8911-17BF-4064-9263-86CA33AF26A3}"/>
    <cellStyle name="Normal 5 2 2 2 2 7 2 4" xfId="12855" xr:uid="{4AA537E9-66ED-4DB8-AF48-4563D8B48D92}"/>
    <cellStyle name="Normal 5 2 2 2 2 7 3" xfId="6435" xr:uid="{00000000-0005-0000-0000-000044170000}"/>
    <cellStyle name="Normal 5 2 2 2 2 7 3 2" xfId="23370" xr:uid="{94479E7D-508A-42F1-9D23-C32B60FED1FA}"/>
    <cellStyle name="Normal 5 2 2 2 2 7 3 3" xfId="14929" xr:uid="{F13466B6-AA0A-4084-B8CE-A907E9A5DA06}"/>
    <cellStyle name="Normal 5 2 2 2 2 7 4" xfId="19152" xr:uid="{6FB1A877-48F7-4850-B13E-D47CAA429606}"/>
    <cellStyle name="Normal 5 2 2 2 2 7 5" xfId="10678" xr:uid="{234F3175-B871-4247-953C-C95B2DA4857E}"/>
    <cellStyle name="Normal 5 2 2 2 2 8" xfId="2565" xr:uid="{00000000-0005-0000-0000-000045170000}"/>
    <cellStyle name="Normal 5 2 2 2 2 8 2" xfId="6848" xr:uid="{00000000-0005-0000-0000-000046170000}"/>
    <cellStyle name="Normal 5 2 2 2 2 8 2 2" xfId="23783" xr:uid="{FCCEC5BC-B5E1-4996-BFE4-9EC212FCDF3A}"/>
    <cellStyle name="Normal 5 2 2 2 2 8 2 3" xfId="15342" xr:uid="{4A7F560F-A280-4A56-B30B-F58D727A2DE9}"/>
    <cellStyle name="Normal 5 2 2 2 2 8 3" xfId="19565" xr:uid="{CE5A2470-9E94-4497-8902-6DAC45E7B100}"/>
    <cellStyle name="Normal 5 2 2 2 2 8 4" xfId="11113" xr:uid="{63529940-E216-4628-925A-7F97B1A2C012}"/>
    <cellStyle name="Normal 5 2 2 2 2 9" xfId="4783" xr:uid="{00000000-0005-0000-0000-000047170000}"/>
    <cellStyle name="Normal 5 2 2 2 2 9 2" xfId="21718" xr:uid="{191B02D8-AFB7-49FC-BE63-91B34394FC5F}"/>
    <cellStyle name="Normal 5 2 2 2 2 9 3" xfId="13277" xr:uid="{195C3830-774B-4E58-AB83-9569C629EF5C}"/>
    <cellStyle name="Normal 5 2 2 2 3" xfId="414" xr:uid="{00000000-0005-0000-0000-000048170000}"/>
    <cellStyle name="Normal 5 2 2 2 3 10" xfId="9029" xr:uid="{4428F152-9E16-45F9-AE00-DF914FA92417}"/>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4281" xr:uid="{D5800818-9B21-475E-BEC5-F609B219106B}"/>
    <cellStyle name="Normal 5 2 2 2 3 2 2 2 2 3" xfId="15840" xr:uid="{4C39E649-8B63-4E38-A04D-3CE205337908}"/>
    <cellStyle name="Normal 5 2 2 2 3 2 2 2 3" xfId="20063" xr:uid="{DAF26A34-3837-42A8-8436-7AE62EC61164}"/>
    <cellStyle name="Normal 5 2 2 2 3 2 2 2 4" xfId="11621" xr:uid="{254F6B5C-B465-4443-BA56-04F29926FF5E}"/>
    <cellStyle name="Normal 5 2 2 2 3 2 2 3" xfId="5201" xr:uid="{00000000-0005-0000-0000-00004D170000}"/>
    <cellStyle name="Normal 5 2 2 2 3 2 2 3 2" xfId="22136" xr:uid="{878F288B-EF51-4401-A43A-7F28E6014FDF}"/>
    <cellStyle name="Normal 5 2 2 2 3 2 2 3 3" xfId="13695" xr:uid="{757C989A-3C2B-408A-B09A-2180824B1798}"/>
    <cellStyle name="Normal 5 2 2 2 3 2 2 4" xfId="17918" xr:uid="{2AC4E280-4AC8-4833-80E6-CD09CF5E5E23}"/>
    <cellStyle name="Normal 5 2 2 2 3 2 2 5" xfId="9444" xr:uid="{637D01EE-799C-462D-B0DF-3AC487892356}"/>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4694" xr:uid="{ADBA7D50-E0A6-4C31-9863-D68D61C10F1E}"/>
    <cellStyle name="Normal 5 2 2 2 3 2 3 2 2 3" xfId="16253" xr:uid="{B2B53363-B9C9-4A8B-B3AB-BBF011315175}"/>
    <cellStyle name="Normal 5 2 2 2 3 2 3 2 3" xfId="20476" xr:uid="{70EF5783-0224-45BF-ABC6-DFA6AA2BC22B}"/>
    <cellStyle name="Normal 5 2 2 2 3 2 3 2 4" xfId="12034" xr:uid="{3867C5AD-4FB7-4CFA-832C-53743615633C}"/>
    <cellStyle name="Normal 5 2 2 2 3 2 3 3" xfId="5614" xr:uid="{00000000-0005-0000-0000-000051170000}"/>
    <cellStyle name="Normal 5 2 2 2 3 2 3 3 2" xfId="22549" xr:uid="{D7FD3745-DA7B-4BAC-9890-AC49C88BC9F3}"/>
    <cellStyle name="Normal 5 2 2 2 3 2 3 3 3" xfId="14108" xr:uid="{F01C66BA-2A5F-4374-9325-B7D9883E9D4E}"/>
    <cellStyle name="Normal 5 2 2 2 3 2 3 4" xfId="18331" xr:uid="{E4BB0C49-664B-40FF-81A1-0822322CDDEA}"/>
    <cellStyle name="Normal 5 2 2 2 3 2 3 5" xfId="9857" xr:uid="{A689269E-67A2-4300-805F-6CCB4D283FD1}"/>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107" xr:uid="{1D8C9D08-6B7B-492A-A0F2-7134FCE18B99}"/>
    <cellStyle name="Normal 5 2 2 2 3 2 4 2 2 3" xfId="16666" xr:uid="{CCDEA732-2EFB-4C9B-9F2F-D0D90A7BEEDE}"/>
    <cellStyle name="Normal 5 2 2 2 3 2 4 2 3" xfId="20889" xr:uid="{CD7D0906-4CFB-4617-9527-0043E108F35B}"/>
    <cellStyle name="Normal 5 2 2 2 3 2 4 2 4" xfId="12447" xr:uid="{0D7DBAD1-6DB6-46CF-A152-3CA54FA5ADF2}"/>
    <cellStyle name="Normal 5 2 2 2 3 2 4 3" xfId="6027" xr:uid="{00000000-0005-0000-0000-000055170000}"/>
    <cellStyle name="Normal 5 2 2 2 3 2 4 3 2" xfId="22962" xr:uid="{E8EAF06D-CF42-4A38-AB29-458999700737}"/>
    <cellStyle name="Normal 5 2 2 2 3 2 4 3 3" xfId="14521" xr:uid="{10634F96-8E65-4494-9140-F592E3659497}"/>
    <cellStyle name="Normal 5 2 2 2 3 2 4 4" xfId="18744" xr:uid="{8C96C479-893F-47B0-BF50-4BB82C5DA8F8}"/>
    <cellStyle name="Normal 5 2 2 2 3 2 4 5" xfId="10270" xr:uid="{C7E25EA1-04C7-4027-9C8F-03FC71D8E51D}"/>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5520" xr:uid="{6633B337-E1D2-4301-91E7-AE7202FCE8AE}"/>
    <cellStyle name="Normal 5 2 2 2 3 2 5 2 2 3" xfId="17079" xr:uid="{691399DC-A8B9-4194-8B1E-0BE451BB2609}"/>
    <cellStyle name="Normal 5 2 2 2 3 2 5 2 3" xfId="21302" xr:uid="{07CD043E-D241-466B-8F77-C3D9674B27EA}"/>
    <cellStyle name="Normal 5 2 2 2 3 2 5 2 4" xfId="12860" xr:uid="{7CA88A23-602A-4E69-BED0-764B782235E0}"/>
    <cellStyle name="Normal 5 2 2 2 3 2 5 3" xfId="6440" xr:uid="{00000000-0005-0000-0000-000059170000}"/>
    <cellStyle name="Normal 5 2 2 2 3 2 5 3 2" xfId="23375" xr:uid="{D4D822C4-6D14-4644-A704-63D92CA0B330}"/>
    <cellStyle name="Normal 5 2 2 2 3 2 5 3 3" xfId="14934" xr:uid="{EE043C06-EFA3-4F60-AFBD-0C18F63E8BFE}"/>
    <cellStyle name="Normal 5 2 2 2 3 2 5 4" xfId="19157" xr:uid="{91B8636D-0A87-4FFB-868A-128499A5933D}"/>
    <cellStyle name="Normal 5 2 2 2 3 2 5 5" xfId="10683" xr:uid="{C7D69D8D-9A5A-4204-9BB3-F2720DC977CC}"/>
    <cellStyle name="Normal 5 2 2 2 3 2 6" xfId="2570" xr:uid="{00000000-0005-0000-0000-00005A170000}"/>
    <cellStyle name="Normal 5 2 2 2 3 2 6 2" xfId="6853" xr:uid="{00000000-0005-0000-0000-00005B170000}"/>
    <cellStyle name="Normal 5 2 2 2 3 2 6 2 2" xfId="23788" xr:uid="{38D9E211-C179-4C1C-A189-A40950D73F1E}"/>
    <cellStyle name="Normal 5 2 2 2 3 2 6 2 3" xfId="15347" xr:uid="{F4716944-86C6-4695-868C-C063DCE35014}"/>
    <cellStyle name="Normal 5 2 2 2 3 2 6 3" xfId="19570" xr:uid="{8E885DEB-14BF-4BDB-958E-5A9E78993F8E}"/>
    <cellStyle name="Normal 5 2 2 2 3 2 6 4" xfId="11118" xr:uid="{4CE706B3-9C18-4F33-BBCE-F61B487389F0}"/>
    <cellStyle name="Normal 5 2 2 2 3 2 7" xfId="4788" xr:uid="{00000000-0005-0000-0000-00005C170000}"/>
    <cellStyle name="Normal 5 2 2 2 3 2 7 2" xfId="21723" xr:uid="{6D1FBEF7-B410-4F08-A330-FFF57A730D7A}"/>
    <cellStyle name="Normal 5 2 2 2 3 2 7 3" xfId="13282" xr:uid="{5024C48A-75D2-424C-B9C9-74DE7E84984F}"/>
    <cellStyle name="Normal 5 2 2 2 3 2 8" xfId="17505" xr:uid="{A4BA74DB-3129-4D93-B3D6-44329A88DF43}"/>
    <cellStyle name="Normal 5 2 2 2 3 2 9" xfId="9030" xr:uid="{C819F409-4DDE-4246-97FC-721217B9E2F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4280" xr:uid="{2B414E81-B0C6-4562-831F-4D354C181580}"/>
    <cellStyle name="Normal 5 2 2 2 3 3 2 2 3" xfId="15839" xr:uid="{EA8520B1-0507-4DDE-A75E-E39BB661823F}"/>
    <cellStyle name="Normal 5 2 2 2 3 3 2 3" xfId="20062" xr:uid="{192A8411-4784-4E6B-ABCA-E9A461E90639}"/>
    <cellStyle name="Normal 5 2 2 2 3 3 2 4" xfId="11620" xr:uid="{80DB477D-3FE5-4307-A946-2B88E383C381}"/>
    <cellStyle name="Normal 5 2 2 2 3 3 3" xfId="5200" xr:uid="{00000000-0005-0000-0000-000060170000}"/>
    <cellStyle name="Normal 5 2 2 2 3 3 3 2" xfId="22135" xr:uid="{932DC835-7D84-44F1-85C8-635FE5475092}"/>
    <cellStyle name="Normal 5 2 2 2 3 3 3 3" xfId="13694" xr:uid="{94CCE7EA-C8BA-4400-AB42-05BD63F65EE3}"/>
    <cellStyle name="Normal 5 2 2 2 3 3 4" xfId="17917" xr:uid="{F0534487-0470-4E79-BA76-14180AF3D969}"/>
    <cellStyle name="Normal 5 2 2 2 3 3 5" xfId="9443" xr:uid="{69A75C38-2BBC-487E-A8B8-874F85348558}"/>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4693" xr:uid="{B479ADE0-1470-4CFD-98B5-D9EBDEB4AB03}"/>
    <cellStyle name="Normal 5 2 2 2 3 4 2 2 3" xfId="16252" xr:uid="{E224595E-A1FA-42CA-97DD-B10E57B51FF8}"/>
    <cellStyle name="Normal 5 2 2 2 3 4 2 3" xfId="20475" xr:uid="{CB8BA55C-5D7E-4C49-9151-1CD07E859C48}"/>
    <cellStyle name="Normal 5 2 2 2 3 4 2 4" xfId="12033" xr:uid="{5BD70570-09A9-4215-A783-A2A3064345C7}"/>
    <cellStyle name="Normal 5 2 2 2 3 4 3" xfId="5613" xr:uid="{00000000-0005-0000-0000-000064170000}"/>
    <cellStyle name="Normal 5 2 2 2 3 4 3 2" xfId="22548" xr:uid="{AF6E45DB-2991-42DA-B5B1-5B70387D5C77}"/>
    <cellStyle name="Normal 5 2 2 2 3 4 3 3" xfId="14107" xr:uid="{3A5419F4-44AC-43B0-9B70-F57D7D8B3F82}"/>
    <cellStyle name="Normal 5 2 2 2 3 4 4" xfId="18330" xr:uid="{7F02B7E9-9E75-4A02-9421-9E8784D89740}"/>
    <cellStyle name="Normal 5 2 2 2 3 4 5" xfId="9856" xr:uid="{69C1CA02-DA70-40A0-9758-12E0F4DB1A37}"/>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106" xr:uid="{286E823C-E18E-4110-94EB-B6A3DE849CB9}"/>
    <cellStyle name="Normal 5 2 2 2 3 5 2 2 3" xfId="16665" xr:uid="{AE2B3193-2C10-4163-A964-B3C43AB2AEDD}"/>
    <cellStyle name="Normal 5 2 2 2 3 5 2 3" xfId="20888" xr:uid="{AB7528A5-2E74-4F93-AA6A-0849453FFDF5}"/>
    <cellStyle name="Normal 5 2 2 2 3 5 2 4" xfId="12446" xr:uid="{35ED5F2B-51B9-4FE3-BB65-8AF0FAE9F472}"/>
    <cellStyle name="Normal 5 2 2 2 3 5 3" xfId="6026" xr:uid="{00000000-0005-0000-0000-000068170000}"/>
    <cellStyle name="Normal 5 2 2 2 3 5 3 2" xfId="22961" xr:uid="{EEB10579-C120-4436-8227-84D934FB2146}"/>
    <cellStyle name="Normal 5 2 2 2 3 5 3 3" xfId="14520" xr:uid="{C41BFDBF-2F4A-4883-B466-39B3F25458DC}"/>
    <cellStyle name="Normal 5 2 2 2 3 5 4" xfId="18743" xr:uid="{F7E408B7-C99C-496E-B473-1A25371D6072}"/>
    <cellStyle name="Normal 5 2 2 2 3 5 5" xfId="10269" xr:uid="{EFBE3863-8756-44CB-9710-A807752504D5}"/>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5519" xr:uid="{00DE16BC-260B-4741-B27D-D25960F81283}"/>
    <cellStyle name="Normal 5 2 2 2 3 6 2 2 3" xfId="17078" xr:uid="{475536B7-F488-4082-A61D-5C108D654771}"/>
    <cellStyle name="Normal 5 2 2 2 3 6 2 3" xfId="21301" xr:uid="{4BF2BEFF-0396-4057-A2ED-094C02AE6538}"/>
    <cellStyle name="Normal 5 2 2 2 3 6 2 4" xfId="12859" xr:uid="{FA101959-0667-4781-8B25-3966383A4F98}"/>
    <cellStyle name="Normal 5 2 2 2 3 6 3" xfId="6439" xr:uid="{00000000-0005-0000-0000-00006C170000}"/>
    <cellStyle name="Normal 5 2 2 2 3 6 3 2" xfId="23374" xr:uid="{1E251E36-9038-44EF-BA8B-4C016B513736}"/>
    <cellStyle name="Normal 5 2 2 2 3 6 3 3" xfId="14933" xr:uid="{69B839F5-F692-49D0-8437-DE2EE791EB38}"/>
    <cellStyle name="Normal 5 2 2 2 3 6 4" xfId="19156" xr:uid="{35920547-DD74-4D20-B613-0DCCF5F43E42}"/>
    <cellStyle name="Normal 5 2 2 2 3 6 5" xfId="10682" xr:uid="{479EF139-81AB-4E73-8F62-372896A9C732}"/>
    <cellStyle name="Normal 5 2 2 2 3 7" xfId="2569" xr:uid="{00000000-0005-0000-0000-00006D170000}"/>
    <cellStyle name="Normal 5 2 2 2 3 7 2" xfId="6852" xr:uid="{00000000-0005-0000-0000-00006E170000}"/>
    <cellStyle name="Normal 5 2 2 2 3 7 2 2" xfId="23787" xr:uid="{A6A41D50-4410-4B1C-858F-0695D6FE4432}"/>
    <cellStyle name="Normal 5 2 2 2 3 7 2 3" xfId="15346" xr:uid="{CFC56868-5ABF-4C65-A2F5-20A49A5B96D7}"/>
    <cellStyle name="Normal 5 2 2 2 3 7 3" xfId="19569" xr:uid="{8E8BE1BE-FF7E-42C1-BB2F-68DFC98ED431}"/>
    <cellStyle name="Normal 5 2 2 2 3 7 4" xfId="11117" xr:uid="{8E4F6404-3567-4F5B-852B-C3B168FABC90}"/>
    <cellStyle name="Normal 5 2 2 2 3 8" xfId="4787" xr:uid="{00000000-0005-0000-0000-00006F170000}"/>
    <cellStyle name="Normal 5 2 2 2 3 8 2" xfId="21722" xr:uid="{70693AAE-8611-4903-9EF2-95FFD229EC96}"/>
    <cellStyle name="Normal 5 2 2 2 3 8 3" xfId="13281" xr:uid="{6917282E-7885-48DB-A6D6-1EBAC2FA4F15}"/>
    <cellStyle name="Normal 5 2 2 2 3 9" xfId="17504" xr:uid="{669CE1D6-31B0-4808-AEC3-F6E7B7F66452}"/>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4282" xr:uid="{663214F6-E832-4431-A21E-6698F739B68B}"/>
    <cellStyle name="Normal 5 2 2 2 4 2 2 2 3" xfId="15841" xr:uid="{F4E54AB5-A530-49CC-AED0-3C66F7B0AAA0}"/>
    <cellStyle name="Normal 5 2 2 2 4 2 2 3" xfId="20064" xr:uid="{9A894B16-EE9D-4879-BB92-CF030826EFD2}"/>
    <cellStyle name="Normal 5 2 2 2 4 2 2 4" xfId="11622" xr:uid="{D16BE81A-2073-42A0-A59C-E2FE833A7132}"/>
    <cellStyle name="Normal 5 2 2 2 4 2 3" xfId="5202" xr:uid="{00000000-0005-0000-0000-000074170000}"/>
    <cellStyle name="Normal 5 2 2 2 4 2 3 2" xfId="22137" xr:uid="{8B45ED3B-D847-412F-89FE-A99A0E7394D2}"/>
    <cellStyle name="Normal 5 2 2 2 4 2 3 3" xfId="13696" xr:uid="{58C11486-2876-4606-83A4-015B6CEDA079}"/>
    <cellStyle name="Normal 5 2 2 2 4 2 4" xfId="17919" xr:uid="{AD47B200-A464-4B70-8BCF-0CB57936CE4C}"/>
    <cellStyle name="Normal 5 2 2 2 4 2 5" xfId="9445" xr:uid="{4831C90F-3033-4AC6-A262-A3916562B905}"/>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4695" xr:uid="{76CBD5F3-3942-4C32-9597-7023A0C2004D}"/>
    <cellStyle name="Normal 5 2 2 2 4 3 2 2 3" xfId="16254" xr:uid="{92C684C7-43F9-4516-BEF4-5678C120C741}"/>
    <cellStyle name="Normal 5 2 2 2 4 3 2 3" xfId="20477" xr:uid="{731EBFBC-B93E-49C1-B64A-95112574B893}"/>
    <cellStyle name="Normal 5 2 2 2 4 3 2 4" xfId="12035" xr:uid="{6A8AF21A-606E-4F23-B1D1-405D6D6C355D}"/>
    <cellStyle name="Normal 5 2 2 2 4 3 3" xfId="5615" xr:uid="{00000000-0005-0000-0000-000078170000}"/>
    <cellStyle name="Normal 5 2 2 2 4 3 3 2" xfId="22550" xr:uid="{8548C319-E339-4013-9B54-5ED594A2C498}"/>
    <cellStyle name="Normal 5 2 2 2 4 3 3 3" xfId="14109" xr:uid="{C09E8AC7-8283-4118-A9D7-52D46115C7F2}"/>
    <cellStyle name="Normal 5 2 2 2 4 3 4" xfId="18332" xr:uid="{575F6661-FEE2-4975-B684-7AF4F4755A49}"/>
    <cellStyle name="Normal 5 2 2 2 4 3 5" xfId="9858" xr:uid="{3335FD3B-038D-4369-82B9-E3FFDF2AD35D}"/>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108" xr:uid="{5892A080-8A17-4F5E-A1A0-D7764D537371}"/>
    <cellStyle name="Normal 5 2 2 2 4 4 2 2 3" xfId="16667" xr:uid="{9C3C42D4-9611-47FE-BFC6-255F96C89FBD}"/>
    <cellStyle name="Normal 5 2 2 2 4 4 2 3" xfId="20890" xr:uid="{C99CCDA3-B459-424A-B96A-1669D03940D2}"/>
    <cellStyle name="Normal 5 2 2 2 4 4 2 4" xfId="12448" xr:uid="{85046804-845C-4DFF-97EE-7E9C3F257F82}"/>
    <cellStyle name="Normal 5 2 2 2 4 4 3" xfId="6028" xr:uid="{00000000-0005-0000-0000-00007C170000}"/>
    <cellStyle name="Normal 5 2 2 2 4 4 3 2" xfId="22963" xr:uid="{87BAE232-4FCF-486C-A740-E45A3E54FAC6}"/>
    <cellStyle name="Normal 5 2 2 2 4 4 3 3" xfId="14522" xr:uid="{E491D88E-171B-4B40-9293-356222BE0625}"/>
    <cellStyle name="Normal 5 2 2 2 4 4 4" xfId="18745" xr:uid="{850664FF-BD92-4012-91CB-F715A8EFE332}"/>
    <cellStyle name="Normal 5 2 2 2 4 4 5" xfId="10271" xr:uid="{696A8E32-750D-4FF2-9C12-75FD915DAE89}"/>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5521" xr:uid="{855F8090-E82A-412D-9CE4-DCEDBD371BC0}"/>
    <cellStyle name="Normal 5 2 2 2 4 5 2 2 3" xfId="17080" xr:uid="{14EFC8CA-2AC0-48F7-A0F8-237AEB4375CC}"/>
    <cellStyle name="Normal 5 2 2 2 4 5 2 3" xfId="21303" xr:uid="{50164A28-1A89-4F87-A7B8-A91573F587D9}"/>
    <cellStyle name="Normal 5 2 2 2 4 5 2 4" xfId="12861" xr:uid="{0DFB2F0F-0DAB-440E-8431-C2F5BB44A6CA}"/>
    <cellStyle name="Normal 5 2 2 2 4 5 3" xfId="6441" xr:uid="{00000000-0005-0000-0000-000080170000}"/>
    <cellStyle name="Normal 5 2 2 2 4 5 3 2" xfId="23376" xr:uid="{2CA504F8-76C0-4839-BDDB-9A5918B3D622}"/>
    <cellStyle name="Normal 5 2 2 2 4 5 3 3" xfId="14935" xr:uid="{05F21614-CF8E-4DB2-8484-BCB60AF2AAC6}"/>
    <cellStyle name="Normal 5 2 2 2 4 5 4" xfId="19158" xr:uid="{F1BDC77A-9AFD-48BB-9FF1-10A75C27C5B5}"/>
    <cellStyle name="Normal 5 2 2 2 4 5 5" xfId="10684" xr:uid="{86FC5D7C-507C-4F2F-BDDE-AD8059278E42}"/>
    <cellStyle name="Normal 5 2 2 2 4 6" xfId="2571" xr:uid="{00000000-0005-0000-0000-000081170000}"/>
    <cellStyle name="Normal 5 2 2 2 4 6 2" xfId="6854" xr:uid="{00000000-0005-0000-0000-000082170000}"/>
    <cellStyle name="Normal 5 2 2 2 4 6 2 2" xfId="23789" xr:uid="{CE149EAF-9C6A-43DF-AB23-58EF2D9ED84A}"/>
    <cellStyle name="Normal 5 2 2 2 4 6 2 3" xfId="15348" xr:uid="{A833075D-E81A-4431-AFCF-850B944A7B90}"/>
    <cellStyle name="Normal 5 2 2 2 4 6 3" xfId="19571" xr:uid="{C638AE0A-F4C4-4374-B97A-5364C185741F}"/>
    <cellStyle name="Normal 5 2 2 2 4 6 4" xfId="11119" xr:uid="{77F30C4C-F25E-4E03-A0E1-7CCC5C77F9C8}"/>
    <cellStyle name="Normal 5 2 2 2 4 7" xfId="4789" xr:uid="{00000000-0005-0000-0000-000083170000}"/>
    <cellStyle name="Normal 5 2 2 2 4 7 2" xfId="21724" xr:uid="{8B2762AA-A4CF-476B-80B4-D0CAEF0CB180}"/>
    <cellStyle name="Normal 5 2 2 2 4 7 3" xfId="13283" xr:uid="{B2689074-2E80-47B5-B644-4AB2575BEBDF}"/>
    <cellStyle name="Normal 5 2 2 2 4 8" xfId="17506" xr:uid="{8FF8B01A-7B75-47E6-B6DA-31E6D405E3AB}"/>
    <cellStyle name="Normal 5 2 2 2 4 9" xfId="9031" xr:uid="{CCCDC779-450C-42C7-AA14-2D4B4B53260C}"/>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4275" xr:uid="{29D6F02C-7CD6-4AA5-BCB7-6BDCA265DF8F}"/>
    <cellStyle name="Normal 5 2 2 2 5 2 2 3" xfId="15834" xr:uid="{069D68FE-E606-4477-8152-B89B1DCA13B3}"/>
    <cellStyle name="Normal 5 2 2 2 5 2 3" xfId="20057" xr:uid="{794FEC81-8054-499A-993D-883AFB0D732B}"/>
    <cellStyle name="Normal 5 2 2 2 5 2 4" xfId="11615" xr:uid="{D770A196-B5BA-4900-9FEB-1207DFBCEBE0}"/>
    <cellStyle name="Normal 5 2 2 2 5 3" xfId="5195" xr:uid="{00000000-0005-0000-0000-000087170000}"/>
    <cellStyle name="Normal 5 2 2 2 5 3 2" xfId="22130" xr:uid="{98FF0FB1-4D92-4D05-8989-A684E7109EA1}"/>
    <cellStyle name="Normal 5 2 2 2 5 3 3" xfId="13689" xr:uid="{02B3CE7A-B969-4C02-B2B4-1718B9A063ED}"/>
    <cellStyle name="Normal 5 2 2 2 5 4" xfId="17912" xr:uid="{215CECD6-992C-4833-9D45-A33ACED0FB28}"/>
    <cellStyle name="Normal 5 2 2 2 5 5" xfId="9438" xr:uid="{F578FA54-AC43-4C76-817D-A728661E960F}"/>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4688" xr:uid="{B0F70AAE-12F1-4B00-8BBB-FAFDFB2113BE}"/>
    <cellStyle name="Normal 5 2 2 2 6 2 2 3" xfId="16247" xr:uid="{690C7232-73EE-4762-AD7C-09D01A487073}"/>
    <cellStyle name="Normal 5 2 2 2 6 2 3" xfId="20470" xr:uid="{9887B3FF-210B-4C07-8D8C-0091646DCCDF}"/>
    <cellStyle name="Normal 5 2 2 2 6 2 4" xfId="12028" xr:uid="{1688333D-2398-4B45-B58E-BBAE0F0B2D69}"/>
    <cellStyle name="Normal 5 2 2 2 6 3" xfId="5608" xr:uid="{00000000-0005-0000-0000-00008B170000}"/>
    <cellStyle name="Normal 5 2 2 2 6 3 2" xfId="22543" xr:uid="{21285F5D-0AF7-4256-BC3A-113F6F4FE840}"/>
    <cellStyle name="Normal 5 2 2 2 6 3 3" xfId="14102" xr:uid="{0A3849AF-C9B1-445C-925F-5992092D8DF8}"/>
    <cellStyle name="Normal 5 2 2 2 6 4" xfId="18325" xr:uid="{199E9FAB-7C35-4C4A-9EFE-08B982679B3C}"/>
    <cellStyle name="Normal 5 2 2 2 6 5" xfId="9851" xr:uid="{9B328774-3943-4AC5-A0BA-1C9DDA232891}"/>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101" xr:uid="{58652AA1-F359-4783-8B7F-D8101150D176}"/>
    <cellStyle name="Normal 5 2 2 2 7 2 2 3" xfId="16660" xr:uid="{86A76F2D-C725-45B9-B948-EEC12EB345CC}"/>
    <cellStyle name="Normal 5 2 2 2 7 2 3" xfId="20883" xr:uid="{A1829CC4-6604-458E-A093-60F87E5452E3}"/>
    <cellStyle name="Normal 5 2 2 2 7 2 4" xfId="12441" xr:uid="{28D496A1-DF4E-4A7C-893B-B07DA415884B}"/>
    <cellStyle name="Normal 5 2 2 2 7 3" xfId="6021" xr:uid="{00000000-0005-0000-0000-00008F170000}"/>
    <cellStyle name="Normal 5 2 2 2 7 3 2" xfId="22956" xr:uid="{02E16190-76C6-4808-92FA-95A6CB33C66A}"/>
    <cellStyle name="Normal 5 2 2 2 7 3 3" xfId="14515" xr:uid="{BCD54957-2196-49EA-92EA-6C040116D3B7}"/>
    <cellStyle name="Normal 5 2 2 2 7 4" xfId="18738" xr:uid="{01E7C70D-1C4A-4349-A2D5-EE40CCA70487}"/>
    <cellStyle name="Normal 5 2 2 2 7 5" xfId="10264" xr:uid="{B91A4CC8-CBC5-486D-849E-E2CA4C9F9043}"/>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5514" xr:uid="{D8702756-02F5-4F1D-9F31-4AEBA09B3393}"/>
    <cellStyle name="Normal 5 2 2 2 8 2 2 3" xfId="17073" xr:uid="{0324CBD7-E252-470F-ABEE-0B19922514AF}"/>
    <cellStyle name="Normal 5 2 2 2 8 2 3" xfId="21296" xr:uid="{CCDAB822-690C-455C-A87A-19370CF42CB8}"/>
    <cellStyle name="Normal 5 2 2 2 8 2 4" xfId="12854" xr:uid="{0BB702B2-CC0E-4ED0-9EEB-53963F776120}"/>
    <cellStyle name="Normal 5 2 2 2 8 3" xfId="6434" xr:uid="{00000000-0005-0000-0000-000093170000}"/>
    <cellStyle name="Normal 5 2 2 2 8 3 2" xfId="23369" xr:uid="{2C3EABFA-0BEA-4976-AEA5-5344DEA8AFC7}"/>
    <cellStyle name="Normal 5 2 2 2 8 3 3" xfId="14928" xr:uid="{F060700B-00B5-4E3E-824C-2C5E8CCAC70C}"/>
    <cellStyle name="Normal 5 2 2 2 8 4" xfId="19151" xr:uid="{478BC0B4-C289-46FB-8C6D-B72534029873}"/>
    <cellStyle name="Normal 5 2 2 2 8 5" xfId="10677" xr:uid="{38510DD8-AA36-4E23-9F99-7BA0B0E6C8B6}"/>
    <cellStyle name="Normal 5 2 2 2 9" xfId="2564" xr:uid="{00000000-0005-0000-0000-000094170000}"/>
    <cellStyle name="Normal 5 2 2 2 9 2" xfId="6847" xr:uid="{00000000-0005-0000-0000-000095170000}"/>
    <cellStyle name="Normal 5 2 2 2 9 2 2" xfId="23782" xr:uid="{90B71FC8-3BEE-45FF-934C-A8D31F206D3B}"/>
    <cellStyle name="Normal 5 2 2 2 9 2 3" xfId="15341" xr:uid="{1EB430E3-FE5B-414B-8E4F-4D2D7F9FF35D}"/>
    <cellStyle name="Normal 5 2 2 2 9 3" xfId="19564" xr:uid="{217B9FF1-3CAA-4B4D-BBF0-127BD0E79996}"/>
    <cellStyle name="Normal 5 2 2 2 9 4" xfId="11112" xr:uid="{DBC6F9ED-88EC-4169-AAF5-CD5376995467}"/>
    <cellStyle name="Normal 5 2 2 3" xfId="417" xr:uid="{00000000-0005-0000-0000-000096170000}"/>
    <cellStyle name="Normal 5 2 2 3 10" xfId="17507" xr:uid="{B8A2488B-8212-4FB1-A578-61B3510702FE}"/>
    <cellStyle name="Normal 5 2 2 3 11" xfId="9032" xr:uid="{44E5FA10-6883-41CA-94C7-99A488C5AA8C}"/>
    <cellStyle name="Normal 5 2 2 3 2" xfId="418" xr:uid="{00000000-0005-0000-0000-000097170000}"/>
    <cellStyle name="Normal 5 2 2 3 2 10" xfId="9033" xr:uid="{897C821F-0499-47F6-8992-47A5BC98F0D8}"/>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4285" xr:uid="{11A8DB22-5934-403F-B997-4232B67C1C7F}"/>
    <cellStyle name="Normal 5 2 2 3 2 2 2 2 2 3" xfId="15844" xr:uid="{B2909471-8BB6-4FF5-8A6A-D38F8843BA18}"/>
    <cellStyle name="Normal 5 2 2 3 2 2 2 2 3" xfId="20067" xr:uid="{5C720754-89E3-44BD-826B-24F1F2D4719C}"/>
    <cellStyle name="Normal 5 2 2 3 2 2 2 2 4" xfId="11625" xr:uid="{0A6DF22E-B364-456B-A4FC-BD857738AFEB}"/>
    <cellStyle name="Normal 5 2 2 3 2 2 2 3" xfId="5205" xr:uid="{00000000-0005-0000-0000-00009C170000}"/>
    <cellStyle name="Normal 5 2 2 3 2 2 2 3 2" xfId="22140" xr:uid="{56256919-0877-4921-97E2-4AB4E805B700}"/>
    <cellStyle name="Normal 5 2 2 3 2 2 2 3 3" xfId="13699" xr:uid="{C646CFB9-A1B1-4AE9-9E47-5BC429F14FC0}"/>
    <cellStyle name="Normal 5 2 2 3 2 2 2 4" xfId="17922" xr:uid="{7F034286-2990-4489-ADBA-6659EDAE0633}"/>
    <cellStyle name="Normal 5 2 2 3 2 2 2 5" xfId="9448" xr:uid="{7B6BC0B2-2B82-4C9F-8101-DD3F72855F81}"/>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4698" xr:uid="{C6623500-9237-42B7-829B-516C67DE390B}"/>
    <cellStyle name="Normal 5 2 2 3 2 2 3 2 2 3" xfId="16257" xr:uid="{6FB751B2-AA71-4B45-AD8D-9FF98FF04504}"/>
    <cellStyle name="Normal 5 2 2 3 2 2 3 2 3" xfId="20480" xr:uid="{456703C5-450B-4967-A3EE-40C5B2EBCE98}"/>
    <cellStyle name="Normal 5 2 2 3 2 2 3 2 4" xfId="12038" xr:uid="{FF9216C2-0BB0-410A-A99C-225C9ECE9C75}"/>
    <cellStyle name="Normal 5 2 2 3 2 2 3 3" xfId="5618" xr:uid="{00000000-0005-0000-0000-0000A0170000}"/>
    <cellStyle name="Normal 5 2 2 3 2 2 3 3 2" xfId="22553" xr:uid="{80314DCF-4C53-48EB-A0C6-228C53F511C5}"/>
    <cellStyle name="Normal 5 2 2 3 2 2 3 3 3" xfId="14112" xr:uid="{43B9C9D0-F0EC-4366-B1B1-4C16DA5F89C4}"/>
    <cellStyle name="Normal 5 2 2 3 2 2 3 4" xfId="18335" xr:uid="{F3556376-611D-4278-8DEF-4F9082D6CBB3}"/>
    <cellStyle name="Normal 5 2 2 3 2 2 3 5" xfId="9861" xr:uid="{5E113C89-C6E2-46CA-B84D-4ABCD99B87F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111" xr:uid="{DB660EC3-3F14-402C-9EE1-8572A0AD61CF}"/>
    <cellStyle name="Normal 5 2 2 3 2 2 4 2 2 3" xfId="16670" xr:uid="{94F47A91-3595-42D6-8E44-7FD11DC051C1}"/>
    <cellStyle name="Normal 5 2 2 3 2 2 4 2 3" xfId="20893" xr:uid="{F32EB0B5-609F-4A5E-B97E-ECD43BB75425}"/>
    <cellStyle name="Normal 5 2 2 3 2 2 4 2 4" xfId="12451" xr:uid="{B037A2AD-F3DF-41F6-B0C3-3C25CE402A20}"/>
    <cellStyle name="Normal 5 2 2 3 2 2 4 3" xfId="6031" xr:uid="{00000000-0005-0000-0000-0000A4170000}"/>
    <cellStyle name="Normal 5 2 2 3 2 2 4 3 2" xfId="22966" xr:uid="{632FF1AC-D7EC-41FC-9E44-5488B9F274B4}"/>
    <cellStyle name="Normal 5 2 2 3 2 2 4 3 3" xfId="14525" xr:uid="{5CAE191C-959A-4BD0-9D1C-C55642A88905}"/>
    <cellStyle name="Normal 5 2 2 3 2 2 4 4" xfId="18748" xr:uid="{1BB96194-FD62-4A8D-B44F-A994D12ABE53}"/>
    <cellStyle name="Normal 5 2 2 3 2 2 4 5" xfId="10274" xr:uid="{22742154-86CC-4F3B-946F-B8E7DCA6BD72}"/>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5524" xr:uid="{86005134-A72E-4DB3-B218-2BB65C197A1B}"/>
    <cellStyle name="Normal 5 2 2 3 2 2 5 2 2 3" xfId="17083" xr:uid="{4B5113A1-AF52-4E73-B021-956637F13A88}"/>
    <cellStyle name="Normal 5 2 2 3 2 2 5 2 3" xfId="21306" xr:uid="{E239536F-D94E-497B-AC73-DF6F202935D5}"/>
    <cellStyle name="Normal 5 2 2 3 2 2 5 2 4" xfId="12864" xr:uid="{460044E0-0E97-41D7-97C8-EBE7E15234C6}"/>
    <cellStyle name="Normal 5 2 2 3 2 2 5 3" xfId="6444" xr:uid="{00000000-0005-0000-0000-0000A8170000}"/>
    <cellStyle name="Normal 5 2 2 3 2 2 5 3 2" xfId="23379" xr:uid="{F32DC8B0-1A9D-497A-AA29-1FEC7ECE697B}"/>
    <cellStyle name="Normal 5 2 2 3 2 2 5 3 3" xfId="14938" xr:uid="{9C48933E-0F12-45DE-A20A-E0DF075F1831}"/>
    <cellStyle name="Normal 5 2 2 3 2 2 5 4" xfId="19161" xr:uid="{27372581-D082-4744-975E-7E0A7BF290D2}"/>
    <cellStyle name="Normal 5 2 2 3 2 2 5 5" xfId="10687" xr:uid="{B8141E31-DF6E-422E-9243-4E5CE6E68BC9}"/>
    <cellStyle name="Normal 5 2 2 3 2 2 6" xfId="2574" xr:uid="{00000000-0005-0000-0000-0000A9170000}"/>
    <cellStyle name="Normal 5 2 2 3 2 2 6 2" xfId="6857" xr:uid="{00000000-0005-0000-0000-0000AA170000}"/>
    <cellStyle name="Normal 5 2 2 3 2 2 6 2 2" xfId="23792" xr:uid="{8DEB7F21-8758-41F0-B427-85DC5E25790C}"/>
    <cellStyle name="Normal 5 2 2 3 2 2 6 2 3" xfId="15351" xr:uid="{8021260C-E129-4052-A6F9-B00C5120CF80}"/>
    <cellStyle name="Normal 5 2 2 3 2 2 6 3" xfId="19574" xr:uid="{705B8108-2998-4B1E-A546-A0A1FDB12F93}"/>
    <cellStyle name="Normal 5 2 2 3 2 2 6 4" xfId="11122" xr:uid="{F22A3DA4-2F07-4142-9277-1A96FF2866A1}"/>
    <cellStyle name="Normal 5 2 2 3 2 2 7" xfId="4792" xr:uid="{00000000-0005-0000-0000-0000AB170000}"/>
    <cellStyle name="Normal 5 2 2 3 2 2 7 2" xfId="21727" xr:uid="{EC51BF61-298C-4766-AAD6-CA5E1C5DF047}"/>
    <cellStyle name="Normal 5 2 2 3 2 2 7 3" xfId="13286" xr:uid="{60A3314D-B331-480E-BB46-E30E3C76F1F8}"/>
    <cellStyle name="Normal 5 2 2 3 2 2 8" xfId="17509" xr:uid="{1F03B74F-497E-4935-BD76-DFB18E3AE001}"/>
    <cellStyle name="Normal 5 2 2 3 2 2 9" xfId="9034" xr:uid="{875EF41C-BB2D-4F34-A555-B2EE4C7C7DD8}"/>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4284" xr:uid="{B075C60A-36E3-44AD-BA7C-E1FB15FE3C24}"/>
    <cellStyle name="Normal 5 2 2 3 2 3 2 2 3" xfId="15843" xr:uid="{0E88EF0C-734D-4AE7-A625-9CADAB5C5CDE}"/>
    <cellStyle name="Normal 5 2 2 3 2 3 2 3" xfId="20066" xr:uid="{8A543DA0-67A2-4825-B596-9C47F8332190}"/>
    <cellStyle name="Normal 5 2 2 3 2 3 2 4" xfId="11624" xr:uid="{EE210C5A-F0B5-493F-B41A-B9B0A857725F}"/>
    <cellStyle name="Normal 5 2 2 3 2 3 3" xfId="5204" xr:uid="{00000000-0005-0000-0000-0000AF170000}"/>
    <cellStyle name="Normal 5 2 2 3 2 3 3 2" xfId="22139" xr:uid="{FE9A6088-92F5-4F9B-ACC0-DCD96B89FF43}"/>
    <cellStyle name="Normal 5 2 2 3 2 3 3 3" xfId="13698" xr:uid="{417CC95F-FAAF-4C06-8D96-527AFF61AC03}"/>
    <cellStyle name="Normal 5 2 2 3 2 3 4" xfId="17921" xr:uid="{638A1BB1-28A0-4072-89DE-E8EB651C4E1F}"/>
    <cellStyle name="Normal 5 2 2 3 2 3 5" xfId="9447" xr:uid="{9D2FEA0C-6808-4FFD-BB3A-69370BC1DE42}"/>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4697" xr:uid="{B2742A7E-114F-4D10-9594-5AFDEAE60154}"/>
    <cellStyle name="Normal 5 2 2 3 2 4 2 2 3" xfId="16256" xr:uid="{EF86ED4B-18BB-49A1-BB5F-6B0A049CD285}"/>
    <cellStyle name="Normal 5 2 2 3 2 4 2 3" xfId="20479" xr:uid="{B0EE9A2A-E9A4-45F5-8370-8C28B6F6D78C}"/>
    <cellStyle name="Normal 5 2 2 3 2 4 2 4" xfId="12037" xr:uid="{84562C44-7B32-4101-AD1F-AA38AD4D738F}"/>
    <cellStyle name="Normal 5 2 2 3 2 4 3" xfId="5617" xr:uid="{00000000-0005-0000-0000-0000B3170000}"/>
    <cellStyle name="Normal 5 2 2 3 2 4 3 2" xfId="22552" xr:uid="{0E5A9F26-BCF9-4F69-B26B-8007430E926F}"/>
    <cellStyle name="Normal 5 2 2 3 2 4 3 3" xfId="14111" xr:uid="{7943FBBF-F82B-448E-8C44-9E1BC8FA3A82}"/>
    <cellStyle name="Normal 5 2 2 3 2 4 4" xfId="18334" xr:uid="{9345E82A-0554-487D-B8DA-F3C6F863ED58}"/>
    <cellStyle name="Normal 5 2 2 3 2 4 5" xfId="9860" xr:uid="{F5680B09-3424-4234-87F4-4A652642710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110" xr:uid="{6C68E277-F14A-4A2F-95F9-E739858CCA4B}"/>
    <cellStyle name="Normal 5 2 2 3 2 5 2 2 3" xfId="16669" xr:uid="{5DA8EDFF-CF46-46B2-9222-7EC09523A79A}"/>
    <cellStyle name="Normal 5 2 2 3 2 5 2 3" xfId="20892" xr:uid="{A36F59B2-4CEC-4735-B207-24E4607D797A}"/>
    <cellStyle name="Normal 5 2 2 3 2 5 2 4" xfId="12450" xr:uid="{880D83A2-1390-4B88-8407-42AD81EA4E2C}"/>
    <cellStyle name="Normal 5 2 2 3 2 5 3" xfId="6030" xr:uid="{00000000-0005-0000-0000-0000B7170000}"/>
    <cellStyle name="Normal 5 2 2 3 2 5 3 2" xfId="22965" xr:uid="{92FD8E70-F1DE-42DC-8DE4-BD3B15CAD747}"/>
    <cellStyle name="Normal 5 2 2 3 2 5 3 3" xfId="14524" xr:uid="{7D1C04C7-E215-4EA0-BC4F-CCA510F24BE5}"/>
    <cellStyle name="Normal 5 2 2 3 2 5 4" xfId="18747" xr:uid="{FB155278-D72D-4AEF-8D6F-0E7F3E319B49}"/>
    <cellStyle name="Normal 5 2 2 3 2 5 5" xfId="10273" xr:uid="{E72C2F3C-F4B1-4D7D-ADD8-D7CB927B4DE3}"/>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5523" xr:uid="{58B5BFE1-32B8-47A5-9DFB-A8B83635660A}"/>
    <cellStyle name="Normal 5 2 2 3 2 6 2 2 3" xfId="17082" xr:uid="{DA70227D-9DAC-4ABE-B002-E9FB891E1C1A}"/>
    <cellStyle name="Normal 5 2 2 3 2 6 2 3" xfId="21305" xr:uid="{97BD8A7A-6789-4A18-B031-F199849B9B97}"/>
    <cellStyle name="Normal 5 2 2 3 2 6 2 4" xfId="12863" xr:uid="{228BF929-79AF-4F2C-B0F5-DB5F748780AA}"/>
    <cellStyle name="Normal 5 2 2 3 2 6 3" xfId="6443" xr:uid="{00000000-0005-0000-0000-0000BB170000}"/>
    <cellStyle name="Normal 5 2 2 3 2 6 3 2" xfId="23378" xr:uid="{95A99075-E579-4342-BB7E-F54DBE0D56FC}"/>
    <cellStyle name="Normal 5 2 2 3 2 6 3 3" xfId="14937" xr:uid="{9B69F550-3240-4485-8101-AA8FD861F821}"/>
    <cellStyle name="Normal 5 2 2 3 2 6 4" xfId="19160" xr:uid="{5340DBA8-FC2E-49FC-9E89-EE8A6CE7ACC1}"/>
    <cellStyle name="Normal 5 2 2 3 2 6 5" xfId="10686" xr:uid="{9417CBE1-9BDC-4A06-AE06-1F51989E98C7}"/>
    <cellStyle name="Normal 5 2 2 3 2 7" xfId="2573" xr:uid="{00000000-0005-0000-0000-0000BC170000}"/>
    <cellStyle name="Normal 5 2 2 3 2 7 2" xfId="6856" xr:uid="{00000000-0005-0000-0000-0000BD170000}"/>
    <cellStyle name="Normal 5 2 2 3 2 7 2 2" xfId="23791" xr:uid="{D97227AA-1330-46AA-9756-6FCC04BC2513}"/>
    <cellStyle name="Normal 5 2 2 3 2 7 2 3" xfId="15350" xr:uid="{D9A4928A-BAF9-43A1-98B4-288B44C66B87}"/>
    <cellStyle name="Normal 5 2 2 3 2 7 3" xfId="19573" xr:uid="{C2E1860D-AB04-40E3-9028-5B8D68E52641}"/>
    <cellStyle name="Normal 5 2 2 3 2 7 4" xfId="11121" xr:uid="{43CED01D-ACE0-4DA0-8EC5-4ED91AC5D3F3}"/>
    <cellStyle name="Normal 5 2 2 3 2 8" xfId="4791" xr:uid="{00000000-0005-0000-0000-0000BE170000}"/>
    <cellStyle name="Normal 5 2 2 3 2 8 2" xfId="21726" xr:uid="{65B0AE57-C36D-48F4-92A2-DB6CA933C0DE}"/>
    <cellStyle name="Normal 5 2 2 3 2 8 3" xfId="13285" xr:uid="{8E365EB6-174D-4EDB-94F0-AE4B3EF66047}"/>
    <cellStyle name="Normal 5 2 2 3 2 9" xfId="17508" xr:uid="{0E8F1E0C-EBCE-4C70-9885-125A2DEA98C5}"/>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4286" xr:uid="{2AE5E4F0-444E-4EC9-9204-AA8BF05CCCC9}"/>
    <cellStyle name="Normal 5 2 2 3 3 2 2 2 3" xfId="15845" xr:uid="{CFB3FCD2-4273-4F92-B592-7B4F9116FB45}"/>
    <cellStyle name="Normal 5 2 2 3 3 2 2 3" xfId="20068" xr:uid="{6C81BB11-3A61-432E-AFEE-BBBD61F11132}"/>
    <cellStyle name="Normal 5 2 2 3 3 2 2 4" xfId="11626" xr:uid="{F3F83032-B668-4AD4-A74B-B3D3878EACD9}"/>
    <cellStyle name="Normal 5 2 2 3 3 2 3" xfId="5206" xr:uid="{00000000-0005-0000-0000-0000C3170000}"/>
    <cellStyle name="Normal 5 2 2 3 3 2 3 2" xfId="22141" xr:uid="{F2D12C4D-B5A2-44B8-8413-CB7B74CAA53A}"/>
    <cellStyle name="Normal 5 2 2 3 3 2 3 3" xfId="13700" xr:uid="{7082C6C5-BC8D-4667-B9C7-957833E185D9}"/>
    <cellStyle name="Normal 5 2 2 3 3 2 4" xfId="17923" xr:uid="{C2E4A2D7-8C3C-4FCE-9F23-DFC25E7722DD}"/>
    <cellStyle name="Normal 5 2 2 3 3 2 5" xfId="9449" xr:uid="{C1562B1E-55FD-4C2A-A5D3-02E96D021BC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4699" xr:uid="{EC841BCC-8AB7-4D9D-8421-76A50A3D6324}"/>
    <cellStyle name="Normal 5 2 2 3 3 3 2 2 3" xfId="16258" xr:uid="{F70555C1-CD08-4891-9041-7E92B0084F69}"/>
    <cellStyle name="Normal 5 2 2 3 3 3 2 3" xfId="20481" xr:uid="{12E9A6F8-5971-4D90-8A00-0635F4F962A5}"/>
    <cellStyle name="Normal 5 2 2 3 3 3 2 4" xfId="12039" xr:uid="{28AB118A-2574-4662-9C22-41814A6B5DE7}"/>
    <cellStyle name="Normal 5 2 2 3 3 3 3" xfId="5619" xr:uid="{00000000-0005-0000-0000-0000C7170000}"/>
    <cellStyle name="Normal 5 2 2 3 3 3 3 2" xfId="22554" xr:uid="{290E1AF4-6FCE-4C88-8D02-610F9D082943}"/>
    <cellStyle name="Normal 5 2 2 3 3 3 3 3" xfId="14113" xr:uid="{3215BF9A-30C6-48D2-A796-A75AB053B692}"/>
    <cellStyle name="Normal 5 2 2 3 3 3 4" xfId="18336" xr:uid="{79C8AD55-2972-443A-B85F-2EBF1306A6F3}"/>
    <cellStyle name="Normal 5 2 2 3 3 3 5" xfId="9862" xr:uid="{B53E9618-3A6C-4C00-9230-9ADA200A38EB}"/>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112" xr:uid="{EBB46A0B-4F4F-453D-AD00-FDC0DC40F692}"/>
    <cellStyle name="Normal 5 2 2 3 3 4 2 2 3" xfId="16671" xr:uid="{57E69E1A-AFFF-4397-9DEE-4405BDA60A44}"/>
    <cellStyle name="Normal 5 2 2 3 3 4 2 3" xfId="20894" xr:uid="{803B9F4E-7768-4DC3-BE57-1A75E45BCA5D}"/>
    <cellStyle name="Normal 5 2 2 3 3 4 2 4" xfId="12452" xr:uid="{7EE9A382-8AF1-4701-B770-5E9657BBD84E}"/>
    <cellStyle name="Normal 5 2 2 3 3 4 3" xfId="6032" xr:uid="{00000000-0005-0000-0000-0000CB170000}"/>
    <cellStyle name="Normal 5 2 2 3 3 4 3 2" xfId="22967" xr:uid="{53616CCF-6170-4194-8E48-8A576D67282D}"/>
    <cellStyle name="Normal 5 2 2 3 3 4 3 3" xfId="14526" xr:uid="{5A98DD1E-F4F9-4BB1-8BC3-77138BB82B51}"/>
    <cellStyle name="Normal 5 2 2 3 3 4 4" xfId="18749" xr:uid="{02975F72-6FDF-4541-B05D-6901024DDF6B}"/>
    <cellStyle name="Normal 5 2 2 3 3 4 5" xfId="10275" xr:uid="{4C075212-11C2-4EA6-A02B-A5C137C4030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5525" xr:uid="{513B59E5-8706-4CCE-A15A-679F1998407D}"/>
    <cellStyle name="Normal 5 2 2 3 3 5 2 2 3" xfId="17084" xr:uid="{3E76B826-955E-43C4-9994-DEF80F49BDC2}"/>
    <cellStyle name="Normal 5 2 2 3 3 5 2 3" xfId="21307" xr:uid="{10955652-FEA9-4811-AECA-BDCE75EEB68A}"/>
    <cellStyle name="Normal 5 2 2 3 3 5 2 4" xfId="12865" xr:uid="{D6409769-49A2-43A8-A0A5-4529D6A569D9}"/>
    <cellStyle name="Normal 5 2 2 3 3 5 3" xfId="6445" xr:uid="{00000000-0005-0000-0000-0000CF170000}"/>
    <cellStyle name="Normal 5 2 2 3 3 5 3 2" xfId="23380" xr:uid="{46199686-BFCF-46BF-B909-B7AEE468C90E}"/>
    <cellStyle name="Normal 5 2 2 3 3 5 3 3" xfId="14939" xr:uid="{AFAF9D60-29E0-4E29-B3B4-2CD3510862E1}"/>
    <cellStyle name="Normal 5 2 2 3 3 5 4" xfId="19162" xr:uid="{3C97E252-E4AA-476B-8B37-94BF87BC793E}"/>
    <cellStyle name="Normal 5 2 2 3 3 5 5" xfId="10688" xr:uid="{796014E1-C64F-44D3-8984-5107CA601909}"/>
    <cellStyle name="Normal 5 2 2 3 3 6" xfId="2575" xr:uid="{00000000-0005-0000-0000-0000D0170000}"/>
    <cellStyle name="Normal 5 2 2 3 3 6 2" xfId="6858" xr:uid="{00000000-0005-0000-0000-0000D1170000}"/>
    <cellStyle name="Normal 5 2 2 3 3 6 2 2" xfId="23793" xr:uid="{D527CAEB-A6C1-4D1D-B5B5-3F4A6BFF7D58}"/>
    <cellStyle name="Normal 5 2 2 3 3 6 2 3" xfId="15352" xr:uid="{DEB5B5A8-8535-4481-B7CB-031B22569BE1}"/>
    <cellStyle name="Normal 5 2 2 3 3 6 3" xfId="19575" xr:uid="{C2E63AAD-C290-4DA8-BC92-7734EF187E90}"/>
    <cellStyle name="Normal 5 2 2 3 3 6 4" xfId="11123" xr:uid="{222F0394-4D5E-4DF5-A6FE-6757817EEE1C}"/>
    <cellStyle name="Normal 5 2 2 3 3 7" xfId="4793" xr:uid="{00000000-0005-0000-0000-0000D2170000}"/>
    <cellStyle name="Normal 5 2 2 3 3 7 2" xfId="21728" xr:uid="{3AAC35D0-45BD-4392-88C9-7A88BAB19435}"/>
    <cellStyle name="Normal 5 2 2 3 3 7 3" xfId="13287" xr:uid="{73459FD9-345C-4EA1-A8CB-9DAA29114821}"/>
    <cellStyle name="Normal 5 2 2 3 3 8" xfId="17510" xr:uid="{A9EEB33C-2AF3-47C7-8502-56F3EFA30485}"/>
    <cellStyle name="Normal 5 2 2 3 3 9" xfId="9035" xr:uid="{00F73527-60F1-4C5F-9419-BC4E150E5683}"/>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4283" xr:uid="{B46DB714-87B4-4278-93F8-68E6BE3DF0E8}"/>
    <cellStyle name="Normal 5 2 2 3 4 2 2 3" xfId="15842" xr:uid="{1C01562C-A006-4DA9-B84E-7A3D719C70A4}"/>
    <cellStyle name="Normal 5 2 2 3 4 2 3" xfId="20065" xr:uid="{2FFB0C19-689B-4C28-973E-B1ECEC8B375B}"/>
    <cellStyle name="Normal 5 2 2 3 4 2 4" xfId="11623" xr:uid="{F7BBFA7B-29F6-4B42-967C-B9A0F98EB642}"/>
    <cellStyle name="Normal 5 2 2 3 4 3" xfId="5203" xr:uid="{00000000-0005-0000-0000-0000D6170000}"/>
    <cellStyle name="Normal 5 2 2 3 4 3 2" xfId="22138" xr:uid="{50846590-9FCF-4ADE-84C3-A0DA07D3DAA3}"/>
    <cellStyle name="Normal 5 2 2 3 4 3 3" xfId="13697" xr:uid="{2504419C-041C-466E-92DB-0AD530FE0147}"/>
    <cellStyle name="Normal 5 2 2 3 4 4" xfId="17920" xr:uid="{EF602642-BCE4-4E43-9DD1-2DC02B3D2047}"/>
    <cellStyle name="Normal 5 2 2 3 4 5" xfId="9446" xr:uid="{377F30E0-366D-46FD-BB9D-19319E01C5B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4696" xr:uid="{2FA2F28F-8DBF-4952-A7E3-3963A48F30E2}"/>
    <cellStyle name="Normal 5 2 2 3 5 2 2 3" xfId="16255" xr:uid="{DF8BAA58-F503-48BD-A3C0-63EED5F745C4}"/>
    <cellStyle name="Normal 5 2 2 3 5 2 3" xfId="20478" xr:uid="{785665B6-B256-4BE4-A645-995B6F76D33B}"/>
    <cellStyle name="Normal 5 2 2 3 5 2 4" xfId="12036" xr:uid="{1BC5967A-AB30-49E8-930A-05F3329AF869}"/>
    <cellStyle name="Normal 5 2 2 3 5 3" xfId="5616" xr:uid="{00000000-0005-0000-0000-0000DA170000}"/>
    <cellStyle name="Normal 5 2 2 3 5 3 2" xfId="22551" xr:uid="{82F502FE-6581-4C4A-8924-1F99010C03CE}"/>
    <cellStyle name="Normal 5 2 2 3 5 3 3" xfId="14110" xr:uid="{9409CC9D-0A53-460E-9E89-169940A35B72}"/>
    <cellStyle name="Normal 5 2 2 3 5 4" xfId="18333" xr:uid="{CEEEC4BC-4F61-45D7-9B4C-30CE95E3B172}"/>
    <cellStyle name="Normal 5 2 2 3 5 5" xfId="9859" xr:uid="{16588B81-02D8-4B10-A896-01F4D769FEE0}"/>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109" xr:uid="{C30CD60D-A220-45BB-BC5A-663C4E467B19}"/>
    <cellStyle name="Normal 5 2 2 3 6 2 2 3" xfId="16668" xr:uid="{7C3EDFED-681B-4BAE-B5ED-21CB915E967B}"/>
    <cellStyle name="Normal 5 2 2 3 6 2 3" xfId="20891" xr:uid="{951B8FCA-7726-407B-8D5F-41E465DC428F}"/>
    <cellStyle name="Normal 5 2 2 3 6 2 4" xfId="12449" xr:uid="{E5846705-3B12-48B2-A416-8A0634D648D2}"/>
    <cellStyle name="Normal 5 2 2 3 6 3" xfId="6029" xr:uid="{00000000-0005-0000-0000-0000DE170000}"/>
    <cellStyle name="Normal 5 2 2 3 6 3 2" xfId="22964" xr:uid="{657BDE20-3D93-47A4-8AFE-E93732B1505B}"/>
    <cellStyle name="Normal 5 2 2 3 6 3 3" xfId="14523" xr:uid="{58DD9807-1A31-44C9-8617-AE3520ABE67A}"/>
    <cellStyle name="Normal 5 2 2 3 6 4" xfId="18746" xr:uid="{76788F3B-2D12-4FF6-BBF1-E346F3971EF1}"/>
    <cellStyle name="Normal 5 2 2 3 6 5" xfId="10272" xr:uid="{9B864D44-D5CC-4362-9844-8DE92F3A59EC}"/>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5522" xr:uid="{85F4753A-31CB-44CF-9FD7-078EBC9914D4}"/>
    <cellStyle name="Normal 5 2 2 3 7 2 2 3" xfId="17081" xr:uid="{5BF8BB3F-F0A4-4A8A-9E55-6D705E72B144}"/>
    <cellStyle name="Normal 5 2 2 3 7 2 3" xfId="21304" xr:uid="{BD011C7A-754C-4434-8424-BBCE23BB92C4}"/>
    <cellStyle name="Normal 5 2 2 3 7 2 4" xfId="12862" xr:uid="{E63E52D9-9513-46C4-A67B-8BBCF0D2ED14}"/>
    <cellStyle name="Normal 5 2 2 3 7 3" xfId="6442" xr:uid="{00000000-0005-0000-0000-0000E2170000}"/>
    <cellStyle name="Normal 5 2 2 3 7 3 2" xfId="23377" xr:uid="{651761AF-6C20-4935-99D2-02EE783642A3}"/>
    <cellStyle name="Normal 5 2 2 3 7 3 3" xfId="14936" xr:uid="{EC366073-7F7A-4801-9D66-B2FF5A563F29}"/>
    <cellStyle name="Normal 5 2 2 3 7 4" xfId="19159" xr:uid="{5EBB4C93-DB4E-4470-A4D9-6FA80F21D09F}"/>
    <cellStyle name="Normal 5 2 2 3 7 5" xfId="10685" xr:uid="{020A949F-0980-4EB3-86DF-8B0272D3B87E}"/>
    <cellStyle name="Normal 5 2 2 3 8" xfId="2572" xr:uid="{00000000-0005-0000-0000-0000E3170000}"/>
    <cellStyle name="Normal 5 2 2 3 8 2" xfId="6855" xr:uid="{00000000-0005-0000-0000-0000E4170000}"/>
    <cellStyle name="Normal 5 2 2 3 8 2 2" xfId="23790" xr:uid="{7C649E69-AD20-4C19-904E-C5DFABFE67FD}"/>
    <cellStyle name="Normal 5 2 2 3 8 2 3" xfId="15349" xr:uid="{EFAF2FF6-3C61-4F5C-A642-56A110B9F311}"/>
    <cellStyle name="Normal 5 2 2 3 8 3" xfId="19572" xr:uid="{366E4A42-80E9-4E7F-80DD-C9EBFC0638BA}"/>
    <cellStyle name="Normal 5 2 2 3 8 4" xfId="11120" xr:uid="{FE7C12EF-4AB7-45F6-BE22-4A8FA5A34AC4}"/>
    <cellStyle name="Normal 5 2 2 3 9" xfId="4790" xr:uid="{00000000-0005-0000-0000-0000E5170000}"/>
    <cellStyle name="Normal 5 2 2 3 9 2" xfId="21725" xr:uid="{10370D6A-6BBF-4BA8-895C-6DFCDB076FB3}"/>
    <cellStyle name="Normal 5 2 2 3 9 3" xfId="13284" xr:uid="{64147642-A974-4A1F-86BF-CF65D31F85C6}"/>
    <cellStyle name="Normal 5 2 2 4" xfId="421" xr:uid="{00000000-0005-0000-0000-0000E6170000}"/>
    <cellStyle name="Normal 5 2 2 4 10" xfId="9036" xr:uid="{98FE7C20-7E4B-48F0-8D2F-DE01C410B541}"/>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4288" xr:uid="{FCA79818-1D0D-4F10-93D8-DA5674BB11F1}"/>
    <cellStyle name="Normal 5 2 2 4 2 2 2 2 3" xfId="15847" xr:uid="{7B1699A9-DE0E-47A9-969D-A39087A77501}"/>
    <cellStyle name="Normal 5 2 2 4 2 2 2 3" xfId="20070" xr:uid="{4570E4A5-EA40-424D-9A18-8411B6E6F759}"/>
    <cellStyle name="Normal 5 2 2 4 2 2 2 4" xfId="11628" xr:uid="{3C20933C-C4FB-4686-9DC5-4F2EE91E68B9}"/>
    <cellStyle name="Normal 5 2 2 4 2 2 3" xfId="5208" xr:uid="{00000000-0005-0000-0000-0000EB170000}"/>
    <cellStyle name="Normal 5 2 2 4 2 2 3 2" xfId="22143" xr:uid="{5FB19F9C-786B-4A1A-BCE8-3D77F4F9667F}"/>
    <cellStyle name="Normal 5 2 2 4 2 2 3 3" xfId="13702" xr:uid="{904486DB-3F8C-4F23-AA59-2D53C3ACBD9D}"/>
    <cellStyle name="Normal 5 2 2 4 2 2 4" xfId="17925" xr:uid="{3D08F798-838C-47B6-BE60-0E819991E39C}"/>
    <cellStyle name="Normal 5 2 2 4 2 2 5" xfId="9451" xr:uid="{59DC01E8-9889-423F-8D15-774056E43C8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4701" xr:uid="{641AEE0A-20E3-4FA0-A8F4-704DFB914063}"/>
    <cellStyle name="Normal 5 2 2 4 2 3 2 2 3" xfId="16260" xr:uid="{8CC7708B-0784-4899-A8C8-F91D4C9C40AA}"/>
    <cellStyle name="Normal 5 2 2 4 2 3 2 3" xfId="20483" xr:uid="{0255F959-1B73-4C06-8B66-3996F65AAF1B}"/>
    <cellStyle name="Normal 5 2 2 4 2 3 2 4" xfId="12041" xr:uid="{512E04BF-8084-470D-8EB3-5B3005DDF187}"/>
    <cellStyle name="Normal 5 2 2 4 2 3 3" xfId="5621" xr:uid="{00000000-0005-0000-0000-0000EF170000}"/>
    <cellStyle name="Normal 5 2 2 4 2 3 3 2" xfId="22556" xr:uid="{09097B5B-E92B-412E-A8BE-22B839A2F997}"/>
    <cellStyle name="Normal 5 2 2 4 2 3 3 3" xfId="14115" xr:uid="{03F3EA79-771D-4870-ACF0-35C3EF69B0E9}"/>
    <cellStyle name="Normal 5 2 2 4 2 3 4" xfId="18338" xr:uid="{8E31995F-8835-42D0-9675-CD3F6BC0CC3D}"/>
    <cellStyle name="Normal 5 2 2 4 2 3 5" xfId="9864" xr:uid="{CF36311F-310E-4FBA-8D60-DD678CF5D20B}"/>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114" xr:uid="{6DA5D854-C920-4B00-B86A-17D95A12988F}"/>
    <cellStyle name="Normal 5 2 2 4 2 4 2 2 3" xfId="16673" xr:uid="{E9284238-1A3F-47D5-A2AF-09D4E807B1E2}"/>
    <cellStyle name="Normal 5 2 2 4 2 4 2 3" xfId="20896" xr:uid="{09879CC0-723E-40B7-8542-F7D53403523F}"/>
    <cellStyle name="Normal 5 2 2 4 2 4 2 4" xfId="12454" xr:uid="{29D1705D-67C8-4CFB-924B-456148830038}"/>
    <cellStyle name="Normal 5 2 2 4 2 4 3" xfId="6034" xr:uid="{00000000-0005-0000-0000-0000F3170000}"/>
    <cellStyle name="Normal 5 2 2 4 2 4 3 2" xfId="22969" xr:uid="{0A18B24E-B73D-41FF-B593-C35C40A5A924}"/>
    <cellStyle name="Normal 5 2 2 4 2 4 3 3" xfId="14528" xr:uid="{67C5CB24-9F10-4424-B340-C1A890A54ED1}"/>
    <cellStyle name="Normal 5 2 2 4 2 4 4" xfId="18751" xr:uid="{ABCC7A4F-E056-435B-8815-BBE1DBFB0232}"/>
    <cellStyle name="Normal 5 2 2 4 2 4 5" xfId="10277" xr:uid="{26DD7222-9D8C-4804-AFB9-040D367DC014}"/>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5527" xr:uid="{26BC573B-E5F3-4347-979B-0DACC4C189C7}"/>
    <cellStyle name="Normal 5 2 2 4 2 5 2 2 3" xfId="17086" xr:uid="{C335FA79-7003-490A-9446-D6AF54608CF6}"/>
    <cellStyle name="Normal 5 2 2 4 2 5 2 3" xfId="21309" xr:uid="{6320263C-62FE-4CCE-BCB4-41EB0D57B1D8}"/>
    <cellStyle name="Normal 5 2 2 4 2 5 2 4" xfId="12867" xr:uid="{7EB795BD-D2F2-4233-8317-DB1491002FF0}"/>
    <cellStyle name="Normal 5 2 2 4 2 5 3" xfId="6447" xr:uid="{00000000-0005-0000-0000-0000F7170000}"/>
    <cellStyle name="Normal 5 2 2 4 2 5 3 2" xfId="23382" xr:uid="{DCBF8229-CD72-4FA7-96AE-8B020E874EB2}"/>
    <cellStyle name="Normal 5 2 2 4 2 5 3 3" xfId="14941" xr:uid="{7227587A-3E0F-4FA0-B767-39B01BFDDC28}"/>
    <cellStyle name="Normal 5 2 2 4 2 5 4" xfId="19164" xr:uid="{DACD50D3-0CDC-4A15-9EC3-0C3B991FE998}"/>
    <cellStyle name="Normal 5 2 2 4 2 5 5" xfId="10690" xr:uid="{D0D785F9-DD24-4F8E-A889-72DFEE24D833}"/>
    <cellStyle name="Normal 5 2 2 4 2 6" xfId="2577" xr:uid="{00000000-0005-0000-0000-0000F8170000}"/>
    <cellStyle name="Normal 5 2 2 4 2 6 2" xfId="6860" xr:uid="{00000000-0005-0000-0000-0000F9170000}"/>
    <cellStyle name="Normal 5 2 2 4 2 6 2 2" xfId="23795" xr:uid="{7D457DD9-F604-47AB-97F1-DCA53D3A7265}"/>
    <cellStyle name="Normal 5 2 2 4 2 6 2 3" xfId="15354" xr:uid="{5B75E8B3-8662-44AA-869C-2D012D36D908}"/>
    <cellStyle name="Normal 5 2 2 4 2 6 3" xfId="19577" xr:uid="{07D1A2BC-B29B-4493-9064-21FD0F5E26B1}"/>
    <cellStyle name="Normal 5 2 2 4 2 6 4" xfId="11125" xr:uid="{6A590F82-6514-4299-AD31-867FEC23EBAE}"/>
    <cellStyle name="Normal 5 2 2 4 2 7" xfId="4795" xr:uid="{00000000-0005-0000-0000-0000FA170000}"/>
    <cellStyle name="Normal 5 2 2 4 2 7 2" xfId="21730" xr:uid="{0CC3AB5D-F487-40A6-94B6-53AA6FA5E12B}"/>
    <cellStyle name="Normal 5 2 2 4 2 7 3" xfId="13289" xr:uid="{41795689-E57B-43A8-B487-F7E23A35FC14}"/>
    <cellStyle name="Normal 5 2 2 4 2 8" xfId="17512" xr:uid="{EBFD4291-EDD4-4D76-B948-FA9B6C8BDB9C}"/>
    <cellStyle name="Normal 5 2 2 4 2 9" xfId="9037" xr:uid="{64B8EE49-C838-48A8-8A6E-D3CFC297A442}"/>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4287" xr:uid="{C8E4098D-D695-448C-86EC-A4F7A411AEB2}"/>
    <cellStyle name="Normal 5 2 2 4 3 2 2 3" xfId="15846" xr:uid="{AC954512-D064-496D-89A7-87F210AEECD8}"/>
    <cellStyle name="Normal 5 2 2 4 3 2 3" xfId="20069" xr:uid="{85AF996A-6275-4B93-8570-AB710C553994}"/>
    <cellStyle name="Normal 5 2 2 4 3 2 4" xfId="11627" xr:uid="{FCF2213D-9271-4829-BF44-83A68844D25F}"/>
    <cellStyle name="Normal 5 2 2 4 3 3" xfId="5207" xr:uid="{00000000-0005-0000-0000-0000FE170000}"/>
    <cellStyle name="Normal 5 2 2 4 3 3 2" xfId="22142" xr:uid="{D6343395-600C-4F4C-A669-B3DDBEFFCAF5}"/>
    <cellStyle name="Normal 5 2 2 4 3 3 3" xfId="13701" xr:uid="{FFA6F8CC-C355-49D2-AFCB-F101757395C9}"/>
    <cellStyle name="Normal 5 2 2 4 3 4" xfId="17924" xr:uid="{135368BD-0FEF-492A-BB67-BA4AFC2D0B52}"/>
    <cellStyle name="Normal 5 2 2 4 3 5" xfId="9450" xr:uid="{4936B204-1B10-4934-BF9C-26A57F841219}"/>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4700" xr:uid="{5B240C40-CADC-449D-BCD5-FC92456D2860}"/>
    <cellStyle name="Normal 5 2 2 4 4 2 2 3" xfId="16259" xr:uid="{F7D25DEB-C088-4021-967F-1BC7CDD1D519}"/>
    <cellStyle name="Normal 5 2 2 4 4 2 3" xfId="20482" xr:uid="{2C10AD38-430D-4CBE-81FC-8433CFBA85DB}"/>
    <cellStyle name="Normal 5 2 2 4 4 2 4" xfId="12040" xr:uid="{A753EC70-CD8E-4E70-9E9B-87B5F63178DE}"/>
    <cellStyle name="Normal 5 2 2 4 4 3" xfId="5620" xr:uid="{00000000-0005-0000-0000-000002180000}"/>
    <cellStyle name="Normal 5 2 2 4 4 3 2" xfId="22555" xr:uid="{E62E4DAB-B302-4CAA-B1CF-A24541E26742}"/>
    <cellStyle name="Normal 5 2 2 4 4 3 3" xfId="14114" xr:uid="{874F7A28-3B04-49ED-A991-CEE5E6F2CB11}"/>
    <cellStyle name="Normal 5 2 2 4 4 4" xfId="18337" xr:uid="{4764F60E-7088-469F-9F68-FC788C41165B}"/>
    <cellStyle name="Normal 5 2 2 4 4 5" xfId="9863" xr:uid="{B76F49EF-4699-464E-A2BA-323D1C200FE2}"/>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113" xr:uid="{43292B6E-E234-44B2-AB6E-FA73CA489215}"/>
    <cellStyle name="Normal 5 2 2 4 5 2 2 3" xfId="16672" xr:uid="{119D8E16-6135-442B-B6ED-30A05C6F3D64}"/>
    <cellStyle name="Normal 5 2 2 4 5 2 3" xfId="20895" xr:uid="{89EAD1A9-96BE-4D0C-ABB4-7DF43319A5BC}"/>
    <cellStyle name="Normal 5 2 2 4 5 2 4" xfId="12453" xr:uid="{1DC56B19-9AB8-49E3-81FD-3A1C8AA21CEF}"/>
    <cellStyle name="Normal 5 2 2 4 5 3" xfId="6033" xr:uid="{00000000-0005-0000-0000-000006180000}"/>
    <cellStyle name="Normal 5 2 2 4 5 3 2" xfId="22968" xr:uid="{F1D915C6-F23E-48C5-A1A7-C36F9363CB8B}"/>
    <cellStyle name="Normal 5 2 2 4 5 3 3" xfId="14527" xr:uid="{BD052EAC-0152-4613-BFE6-EEE51AE01EBA}"/>
    <cellStyle name="Normal 5 2 2 4 5 4" xfId="18750" xr:uid="{6F26B0C4-6083-442B-8399-B262026F9CD9}"/>
    <cellStyle name="Normal 5 2 2 4 5 5" xfId="10276" xr:uid="{B055BC4E-5045-490C-BC84-0C652FB1798F}"/>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5526" xr:uid="{5BE4D713-57D0-4AF9-B166-AB8576EF67A8}"/>
    <cellStyle name="Normal 5 2 2 4 6 2 2 3" xfId="17085" xr:uid="{73419C98-18A2-4D07-83F3-169809892AB8}"/>
    <cellStyle name="Normal 5 2 2 4 6 2 3" xfId="21308" xr:uid="{E6B60042-3F7E-43FF-B1AF-396FC4C03A0D}"/>
    <cellStyle name="Normal 5 2 2 4 6 2 4" xfId="12866" xr:uid="{05CE95B1-AF8B-4CA0-BDF5-0ACFAF5ABFC7}"/>
    <cellStyle name="Normal 5 2 2 4 6 3" xfId="6446" xr:uid="{00000000-0005-0000-0000-00000A180000}"/>
    <cellStyle name="Normal 5 2 2 4 6 3 2" xfId="23381" xr:uid="{E6B54A46-0E01-4DFA-9DFB-E9EE62DBB02A}"/>
    <cellStyle name="Normal 5 2 2 4 6 3 3" xfId="14940" xr:uid="{017035BC-45D0-46E3-93D2-B4DDC55783FB}"/>
    <cellStyle name="Normal 5 2 2 4 6 4" xfId="19163" xr:uid="{13ABFDA5-7F37-44F9-BB36-D6697DB2DE16}"/>
    <cellStyle name="Normal 5 2 2 4 6 5" xfId="10689" xr:uid="{0620C6BA-B31D-450C-A681-131E3DCBE269}"/>
    <cellStyle name="Normal 5 2 2 4 7" xfId="2576" xr:uid="{00000000-0005-0000-0000-00000B180000}"/>
    <cellStyle name="Normal 5 2 2 4 7 2" xfId="6859" xr:uid="{00000000-0005-0000-0000-00000C180000}"/>
    <cellStyle name="Normal 5 2 2 4 7 2 2" xfId="23794" xr:uid="{050B2161-8311-4B5B-9040-615A50D0F499}"/>
    <cellStyle name="Normal 5 2 2 4 7 2 3" xfId="15353" xr:uid="{B125DD0B-5927-4E99-9932-A477D762DC03}"/>
    <cellStyle name="Normal 5 2 2 4 7 3" xfId="19576" xr:uid="{BCA99A70-478C-4228-B779-CF899E85F301}"/>
    <cellStyle name="Normal 5 2 2 4 7 4" xfId="11124" xr:uid="{03E5E68D-2552-4E17-AA4F-605642C367F1}"/>
    <cellStyle name="Normal 5 2 2 4 8" xfId="4794" xr:uid="{00000000-0005-0000-0000-00000D180000}"/>
    <cellStyle name="Normal 5 2 2 4 8 2" xfId="21729" xr:uid="{139C4614-8E9D-4AD0-80B9-7AF6205F5B54}"/>
    <cellStyle name="Normal 5 2 2 4 8 3" xfId="13288" xr:uid="{1F79604F-7904-48F1-9D8F-74FC9954030F}"/>
    <cellStyle name="Normal 5 2 2 4 9" xfId="17511" xr:uid="{7D16BF14-E8C6-46D4-B6C7-BA1DC091A8E2}"/>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4289" xr:uid="{6F2BE4A1-A73D-4739-ABBB-8139B631CB70}"/>
    <cellStyle name="Normal 5 2 2 5 2 2 2 3" xfId="15848" xr:uid="{ECC01FF5-0FA0-432E-B615-2870C1186ADC}"/>
    <cellStyle name="Normal 5 2 2 5 2 2 3" xfId="20071" xr:uid="{E979AEE4-9C1B-41A3-90A4-FF6C3BE05076}"/>
    <cellStyle name="Normal 5 2 2 5 2 2 4" xfId="11629" xr:uid="{3A1FD6FD-3A50-4FA1-A6EA-758DEC616109}"/>
    <cellStyle name="Normal 5 2 2 5 2 3" xfId="5209" xr:uid="{00000000-0005-0000-0000-000012180000}"/>
    <cellStyle name="Normal 5 2 2 5 2 3 2" xfId="22144" xr:uid="{CAD32131-04CC-4648-B96B-4FEED88DE536}"/>
    <cellStyle name="Normal 5 2 2 5 2 3 3" xfId="13703" xr:uid="{C79A330A-E28D-423B-9812-1B452E4124C1}"/>
    <cellStyle name="Normal 5 2 2 5 2 4" xfId="17926" xr:uid="{BE42E635-E068-4A74-82A3-401FD1458F93}"/>
    <cellStyle name="Normal 5 2 2 5 2 5" xfId="9452" xr:uid="{10079336-0003-41F0-B163-034F86393CE6}"/>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4702" xr:uid="{1E0466B7-1EAE-483F-BD5A-111ADB86C05B}"/>
    <cellStyle name="Normal 5 2 2 5 3 2 2 3" xfId="16261" xr:uid="{2D651D6B-6AD9-43E7-A60F-0D860D28CD1F}"/>
    <cellStyle name="Normal 5 2 2 5 3 2 3" xfId="20484" xr:uid="{57A90944-8936-4690-806C-631D456A4F7B}"/>
    <cellStyle name="Normal 5 2 2 5 3 2 4" xfId="12042" xr:uid="{AC0D3923-254F-4707-9051-E1DE51081943}"/>
    <cellStyle name="Normal 5 2 2 5 3 3" xfId="5622" xr:uid="{00000000-0005-0000-0000-000016180000}"/>
    <cellStyle name="Normal 5 2 2 5 3 3 2" xfId="22557" xr:uid="{C6562BCE-E37B-4D41-B326-384EBA954AD0}"/>
    <cellStyle name="Normal 5 2 2 5 3 3 3" xfId="14116" xr:uid="{A20CE06E-A013-48D5-8FD8-699D90660DA3}"/>
    <cellStyle name="Normal 5 2 2 5 3 4" xfId="18339" xr:uid="{50125A88-22F9-4034-B778-6C95EBAC0C06}"/>
    <cellStyle name="Normal 5 2 2 5 3 5" xfId="9865" xr:uid="{7B7875CD-E9DE-4FD6-86B2-3BF98D11D776}"/>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115" xr:uid="{AD5A020D-1AAD-4446-9CED-E65D55B81095}"/>
    <cellStyle name="Normal 5 2 2 5 4 2 2 3" xfId="16674" xr:uid="{F2AEF7F3-EEAA-49F8-A3D2-C6D797FB8127}"/>
    <cellStyle name="Normal 5 2 2 5 4 2 3" xfId="20897" xr:uid="{1A16BC74-5AA8-454D-996B-2C4EC3003366}"/>
    <cellStyle name="Normal 5 2 2 5 4 2 4" xfId="12455" xr:uid="{B8724CEA-63AC-48FD-BB8F-A2963A7492FA}"/>
    <cellStyle name="Normal 5 2 2 5 4 3" xfId="6035" xr:uid="{00000000-0005-0000-0000-00001A180000}"/>
    <cellStyle name="Normal 5 2 2 5 4 3 2" xfId="22970" xr:uid="{305B2411-93A8-4C4C-9774-1B42030A40DD}"/>
    <cellStyle name="Normal 5 2 2 5 4 3 3" xfId="14529" xr:uid="{BD0F9C02-63C8-4FEB-B660-C5ED7B6D5699}"/>
    <cellStyle name="Normal 5 2 2 5 4 4" xfId="18752" xr:uid="{72EE04D3-553A-4367-B757-0D060F014534}"/>
    <cellStyle name="Normal 5 2 2 5 4 5" xfId="10278" xr:uid="{529B219E-6BF8-4F87-927A-CC8F41002C5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5528" xr:uid="{6386DAC1-8035-4C58-B4C4-B9E1F8D02993}"/>
    <cellStyle name="Normal 5 2 2 5 5 2 2 3" xfId="17087" xr:uid="{E8DC5E07-F69D-40A4-AE90-35722E053A0C}"/>
    <cellStyle name="Normal 5 2 2 5 5 2 3" xfId="21310" xr:uid="{895F023C-511E-4587-8CAE-1F8A13E77DEC}"/>
    <cellStyle name="Normal 5 2 2 5 5 2 4" xfId="12868" xr:uid="{276A47D4-F86D-4AED-8DD9-69DDCE080064}"/>
    <cellStyle name="Normal 5 2 2 5 5 3" xfId="6448" xr:uid="{00000000-0005-0000-0000-00001E180000}"/>
    <cellStyle name="Normal 5 2 2 5 5 3 2" xfId="23383" xr:uid="{3A66EA2B-C71F-492D-942F-8DB827CD8FF0}"/>
    <cellStyle name="Normal 5 2 2 5 5 3 3" xfId="14942" xr:uid="{61541859-231C-406D-A4FA-CF5FC682C617}"/>
    <cellStyle name="Normal 5 2 2 5 5 4" xfId="19165" xr:uid="{1BD7255F-395D-4B61-B739-22060872905D}"/>
    <cellStyle name="Normal 5 2 2 5 5 5" xfId="10691" xr:uid="{EBD9AAFA-15A2-458A-A9F6-5D906BD04E4A}"/>
    <cellStyle name="Normal 5 2 2 5 6" xfId="2578" xr:uid="{00000000-0005-0000-0000-00001F180000}"/>
    <cellStyle name="Normal 5 2 2 5 6 2" xfId="6861" xr:uid="{00000000-0005-0000-0000-000020180000}"/>
    <cellStyle name="Normal 5 2 2 5 6 2 2" xfId="23796" xr:uid="{1E156440-357D-4CD1-AAC1-9599140D0254}"/>
    <cellStyle name="Normal 5 2 2 5 6 2 3" xfId="15355" xr:uid="{5972EC26-3D5C-4666-A771-62117B8F16B1}"/>
    <cellStyle name="Normal 5 2 2 5 6 3" xfId="19578" xr:uid="{057F3112-2AB3-4D89-A094-58B8FF305B7C}"/>
    <cellStyle name="Normal 5 2 2 5 6 4" xfId="11126" xr:uid="{726BA1AC-22C0-44EE-8184-DA0525441B1B}"/>
    <cellStyle name="Normal 5 2 2 5 7" xfId="4796" xr:uid="{00000000-0005-0000-0000-000021180000}"/>
    <cellStyle name="Normal 5 2 2 5 7 2" xfId="21731" xr:uid="{4D7E7E1D-9307-4931-89A7-A4C9B1131BA7}"/>
    <cellStyle name="Normal 5 2 2 5 7 3" xfId="13290" xr:uid="{41740D17-43C2-4770-A12F-34C268FD63C3}"/>
    <cellStyle name="Normal 5 2 2 5 8" xfId="17513" xr:uid="{BE57D0F7-5986-459E-819D-5D7D66E3CB92}"/>
    <cellStyle name="Normal 5 2 2 5 9" xfId="9038" xr:uid="{60ABABE3-0B54-4111-B8DA-2CB4DF3000AA}"/>
    <cellStyle name="Normal 5 2 2 6" xfId="882" xr:uid="{00000000-0005-0000-0000-000022180000}"/>
    <cellStyle name="Normal 5 2 2 6 2" xfId="3117" xr:uid="{00000000-0005-0000-0000-000023180000}"/>
    <cellStyle name="Normal 5 2 2 6 2 2" xfId="7339" xr:uid="{00000000-0005-0000-0000-000024180000}"/>
    <cellStyle name="Normal 5 2 2 6 2 2 2" xfId="24274" xr:uid="{82C8AE6C-DA46-4FC6-B3A4-701A4FD4BE37}"/>
    <cellStyle name="Normal 5 2 2 6 2 2 3" xfId="15833" xr:uid="{8681D309-F5A7-46D2-A8CB-76AE0EC4654C}"/>
    <cellStyle name="Normal 5 2 2 6 2 3" xfId="20056" xr:uid="{162FB1B0-0601-4C14-83BC-94776540EEE3}"/>
    <cellStyle name="Normal 5 2 2 6 2 4" xfId="11614" xr:uid="{73281EE0-E949-452D-B361-7B975C56BA52}"/>
    <cellStyle name="Normal 5 2 2 6 3" xfId="5194" xr:uid="{00000000-0005-0000-0000-000025180000}"/>
    <cellStyle name="Normal 5 2 2 6 3 2" xfId="22129" xr:uid="{44D431F8-290D-43B1-A1FA-1F399679FCAE}"/>
    <cellStyle name="Normal 5 2 2 6 3 3" xfId="13688" xr:uid="{D5881CF9-85B3-43C5-8E3E-EE7391D88CD1}"/>
    <cellStyle name="Normal 5 2 2 6 4" xfId="17911" xr:uid="{B9658B83-B38B-42E9-898E-8EB80921E24A}"/>
    <cellStyle name="Normal 5 2 2 6 5" xfId="9437" xr:uid="{F7660442-A254-4192-84FC-7BCC98467B8E}"/>
    <cellStyle name="Normal 5 2 2 7" xfId="1300" xr:uid="{00000000-0005-0000-0000-000026180000}"/>
    <cellStyle name="Normal 5 2 2 7 2" xfId="3530" xr:uid="{00000000-0005-0000-0000-000027180000}"/>
    <cellStyle name="Normal 5 2 2 7 2 2" xfId="7752" xr:uid="{00000000-0005-0000-0000-000028180000}"/>
    <cellStyle name="Normal 5 2 2 7 2 2 2" xfId="24687" xr:uid="{1F7832D9-32FE-48F5-8C8C-A13DDE34C7A0}"/>
    <cellStyle name="Normal 5 2 2 7 2 2 3" xfId="16246" xr:uid="{322CE619-2BFA-40F2-8304-FB84511907B4}"/>
    <cellStyle name="Normal 5 2 2 7 2 3" xfId="20469" xr:uid="{64C9CCEF-CEA5-470D-96B2-5CA793994386}"/>
    <cellStyle name="Normal 5 2 2 7 2 4" xfId="12027" xr:uid="{7D0B9B93-F893-4BAA-A713-9298FCE0D94F}"/>
    <cellStyle name="Normal 5 2 2 7 3" xfId="5607" xr:uid="{00000000-0005-0000-0000-000029180000}"/>
    <cellStyle name="Normal 5 2 2 7 3 2" xfId="22542" xr:uid="{77BEB0E6-9C78-42D4-80AF-FB9DCD2B5C39}"/>
    <cellStyle name="Normal 5 2 2 7 3 3" xfId="14101" xr:uid="{C7082CEA-D2EB-45A7-B479-571906D606B2}"/>
    <cellStyle name="Normal 5 2 2 7 4" xfId="18324" xr:uid="{5B5D41E6-E743-41F6-9197-E1DDAD73D344}"/>
    <cellStyle name="Normal 5 2 2 7 5" xfId="9850" xr:uid="{9FAFF834-8487-4DE9-B495-2570CA6A5A36}"/>
    <cellStyle name="Normal 5 2 2 8" xfId="1713" xr:uid="{00000000-0005-0000-0000-00002A180000}"/>
    <cellStyle name="Normal 5 2 2 8 2" xfId="3943" xr:uid="{00000000-0005-0000-0000-00002B180000}"/>
    <cellStyle name="Normal 5 2 2 8 2 2" xfId="8165" xr:uid="{00000000-0005-0000-0000-00002C180000}"/>
    <cellStyle name="Normal 5 2 2 8 2 2 2" xfId="25100" xr:uid="{A8BA1D2D-F5A5-4445-8F08-AC3E45586115}"/>
    <cellStyle name="Normal 5 2 2 8 2 2 3" xfId="16659" xr:uid="{DA417345-8D26-4FDD-AA1E-C5C541BD8DB9}"/>
    <cellStyle name="Normal 5 2 2 8 2 3" xfId="20882" xr:uid="{6B133D05-C45E-4BC5-A286-0AE9AA185C80}"/>
    <cellStyle name="Normal 5 2 2 8 2 4" xfId="12440" xr:uid="{45D90F94-2308-4769-A5EB-CA9BEC5ED040}"/>
    <cellStyle name="Normal 5 2 2 8 3" xfId="6020" xr:uid="{00000000-0005-0000-0000-00002D180000}"/>
    <cellStyle name="Normal 5 2 2 8 3 2" xfId="22955" xr:uid="{A8683678-4FC1-4288-BF7D-E506D20129FC}"/>
    <cellStyle name="Normal 5 2 2 8 3 3" xfId="14514" xr:uid="{ED7B271D-607A-4AA4-9E5C-CF4DD657C7F4}"/>
    <cellStyle name="Normal 5 2 2 8 4" xfId="18737" xr:uid="{7041B01E-1161-4581-85CB-1EFC882FED01}"/>
    <cellStyle name="Normal 5 2 2 8 5" xfId="10263" xr:uid="{5BE59144-52AD-4977-9769-B7395AA14FE2}"/>
    <cellStyle name="Normal 5 2 2 9" xfId="2127" xr:uid="{00000000-0005-0000-0000-00002E180000}"/>
    <cellStyle name="Normal 5 2 2 9 2" xfId="4356" xr:uid="{00000000-0005-0000-0000-00002F180000}"/>
    <cellStyle name="Normal 5 2 2 9 2 2" xfId="8578" xr:uid="{00000000-0005-0000-0000-000030180000}"/>
    <cellStyle name="Normal 5 2 2 9 2 2 2" xfId="25513" xr:uid="{FAD55259-820B-4DEB-8247-5B92256CE40B}"/>
    <cellStyle name="Normal 5 2 2 9 2 2 3" xfId="17072" xr:uid="{434FA4E4-FA8F-418B-B74D-E6E8ABBE94B9}"/>
    <cellStyle name="Normal 5 2 2 9 2 3" xfId="21295" xr:uid="{FC6E7AAD-36A8-4882-A21E-D3DEADBDEECB}"/>
    <cellStyle name="Normal 5 2 2 9 2 4" xfId="12853" xr:uid="{A12BA08C-C10E-4890-9385-B266C98123C2}"/>
    <cellStyle name="Normal 5 2 2 9 3" xfId="6433" xr:uid="{00000000-0005-0000-0000-000031180000}"/>
    <cellStyle name="Normal 5 2 2 9 3 2" xfId="23368" xr:uid="{14B4C5A6-9369-49C2-B10E-AAA10F848C67}"/>
    <cellStyle name="Normal 5 2 2 9 3 3" xfId="14927" xr:uid="{75B0318C-26C0-41AB-AFDF-A1ABB3FA00E4}"/>
    <cellStyle name="Normal 5 2 2 9 4" xfId="19150" xr:uid="{7752AD2A-24A6-4A38-B36C-686F686EE71F}"/>
    <cellStyle name="Normal 5 2 2 9 5" xfId="10676" xr:uid="{95576777-E363-4678-9096-1304ACD4B508}"/>
    <cellStyle name="Normal 5 2 3" xfId="424" xr:uid="{00000000-0005-0000-0000-000032180000}"/>
    <cellStyle name="Normal 5 2 3 10" xfId="4797" xr:uid="{00000000-0005-0000-0000-000033180000}"/>
    <cellStyle name="Normal 5 2 3 10 2" xfId="21732" xr:uid="{580B7EF7-F8F3-44D3-A959-043B89394834}"/>
    <cellStyle name="Normal 5 2 3 10 3" xfId="13291" xr:uid="{47943E43-D05E-4B05-A159-A04920E61853}"/>
    <cellStyle name="Normal 5 2 3 11" xfId="17514" xr:uid="{86B2C676-C57F-4023-A6A3-A31432E92B13}"/>
    <cellStyle name="Normal 5 2 3 12" xfId="9039" xr:uid="{3D9A55AD-6DFA-46AB-8908-2351C8887759}"/>
    <cellStyle name="Normal 5 2 3 2" xfId="425" xr:uid="{00000000-0005-0000-0000-000034180000}"/>
    <cellStyle name="Normal 5 2 3 2 10" xfId="17515" xr:uid="{1600FF54-2F30-4691-A096-981720F0C2E0}"/>
    <cellStyle name="Normal 5 2 3 2 11" xfId="9040" xr:uid="{A920F0DF-2559-466D-A20B-484CCEA32962}"/>
    <cellStyle name="Normal 5 2 3 2 2" xfId="426" xr:uid="{00000000-0005-0000-0000-000035180000}"/>
    <cellStyle name="Normal 5 2 3 2 2 10" xfId="9041" xr:uid="{E785E830-B642-4A46-8E68-27935560AA83}"/>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4293" xr:uid="{60BCF3BD-8E81-48DC-A6EA-F3C4FA9C65EB}"/>
    <cellStyle name="Normal 5 2 3 2 2 2 2 2 2 3" xfId="15852" xr:uid="{3F79A78E-3E61-42DA-B7DE-266C597A0176}"/>
    <cellStyle name="Normal 5 2 3 2 2 2 2 2 3" xfId="20075" xr:uid="{3A5FC8B0-1194-4360-86C1-D359AAF4E500}"/>
    <cellStyle name="Normal 5 2 3 2 2 2 2 2 4" xfId="11633" xr:uid="{E5470870-1324-420D-B892-2CF89576DC67}"/>
    <cellStyle name="Normal 5 2 3 2 2 2 2 3" xfId="5213" xr:uid="{00000000-0005-0000-0000-00003A180000}"/>
    <cellStyle name="Normal 5 2 3 2 2 2 2 3 2" xfId="22148" xr:uid="{64F67D98-CD37-41BF-AC95-26232707D8BD}"/>
    <cellStyle name="Normal 5 2 3 2 2 2 2 3 3" xfId="13707" xr:uid="{2F5D4FC1-CC33-4D7B-9BD1-63B3502806B1}"/>
    <cellStyle name="Normal 5 2 3 2 2 2 2 4" xfId="17930" xr:uid="{7BDE0E54-3A0D-409A-9F4C-487F5724F610}"/>
    <cellStyle name="Normal 5 2 3 2 2 2 2 5" xfId="9456" xr:uid="{7286E98B-C9F9-4B53-BFF1-3EFB25FE838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4706" xr:uid="{8014CCC5-BF82-411B-BF8E-BC32AD6F04AB}"/>
    <cellStyle name="Normal 5 2 3 2 2 2 3 2 2 3" xfId="16265" xr:uid="{D332F26A-FE8A-4041-A373-CF1EEFDFFAF9}"/>
    <cellStyle name="Normal 5 2 3 2 2 2 3 2 3" xfId="20488" xr:uid="{40ABD3CD-9906-4F6B-A113-FA69750680ED}"/>
    <cellStyle name="Normal 5 2 3 2 2 2 3 2 4" xfId="12046" xr:uid="{963279D1-1E17-47F9-BD81-D5D25BC9210F}"/>
    <cellStyle name="Normal 5 2 3 2 2 2 3 3" xfId="5626" xr:uid="{00000000-0005-0000-0000-00003E180000}"/>
    <cellStyle name="Normal 5 2 3 2 2 2 3 3 2" xfId="22561" xr:uid="{F74DD753-B461-4690-BCB8-816D42F804A2}"/>
    <cellStyle name="Normal 5 2 3 2 2 2 3 3 3" xfId="14120" xr:uid="{8F532317-91F1-4533-8A0C-5799F9A14F9C}"/>
    <cellStyle name="Normal 5 2 3 2 2 2 3 4" xfId="18343" xr:uid="{D5DC3047-D17D-47AA-A90F-3759FAAEC6BD}"/>
    <cellStyle name="Normal 5 2 3 2 2 2 3 5" xfId="9869" xr:uid="{686AD8F4-649F-4FA6-8BDD-CEEBA83A27EB}"/>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119" xr:uid="{B3668751-B2EA-4756-8862-780690AC0618}"/>
    <cellStyle name="Normal 5 2 3 2 2 2 4 2 2 3" xfId="16678" xr:uid="{403835A0-F8A6-426E-A6D2-7CC787898A58}"/>
    <cellStyle name="Normal 5 2 3 2 2 2 4 2 3" xfId="20901" xr:uid="{5379467A-81EE-4146-874F-69742EE5CFEF}"/>
    <cellStyle name="Normal 5 2 3 2 2 2 4 2 4" xfId="12459" xr:uid="{13DD5E35-9CC8-498A-B1B9-B37BE6E9E56E}"/>
    <cellStyle name="Normal 5 2 3 2 2 2 4 3" xfId="6039" xr:uid="{00000000-0005-0000-0000-000042180000}"/>
    <cellStyle name="Normal 5 2 3 2 2 2 4 3 2" xfId="22974" xr:uid="{DEF99564-E06D-44F6-BED1-64AC533CAF5A}"/>
    <cellStyle name="Normal 5 2 3 2 2 2 4 3 3" xfId="14533" xr:uid="{6025B0B7-3976-4836-BE86-ABCA8260BF1F}"/>
    <cellStyle name="Normal 5 2 3 2 2 2 4 4" xfId="18756" xr:uid="{3E9B3E8E-9978-49C9-BA1D-AD3BA814649D}"/>
    <cellStyle name="Normal 5 2 3 2 2 2 4 5" xfId="10282" xr:uid="{C4180979-7665-401F-9A73-A329DA428A5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5532" xr:uid="{42A1547E-ACDF-4656-8FCB-9E68AA3F61EF}"/>
    <cellStyle name="Normal 5 2 3 2 2 2 5 2 2 3" xfId="17091" xr:uid="{B8A0C501-47B3-42D3-9643-C1DB8012DA98}"/>
    <cellStyle name="Normal 5 2 3 2 2 2 5 2 3" xfId="21314" xr:uid="{882CBBFA-3FDE-4D58-AE2C-793E7BBD2000}"/>
    <cellStyle name="Normal 5 2 3 2 2 2 5 2 4" xfId="12872" xr:uid="{0DAA1EBF-7E25-4622-A7A8-134BAC9E5148}"/>
    <cellStyle name="Normal 5 2 3 2 2 2 5 3" xfId="6452" xr:uid="{00000000-0005-0000-0000-000046180000}"/>
    <cellStyle name="Normal 5 2 3 2 2 2 5 3 2" xfId="23387" xr:uid="{453A1C79-AB55-4156-BA0A-ECC9A6069ED0}"/>
    <cellStyle name="Normal 5 2 3 2 2 2 5 3 3" xfId="14946" xr:uid="{A99F773A-C382-48E3-A1AB-66DFE6A2E22E}"/>
    <cellStyle name="Normal 5 2 3 2 2 2 5 4" xfId="19169" xr:uid="{EB66714A-3707-442C-BCDB-DC3754C242E7}"/>
    <cellStyle name="Normal 5 2 3 2 2 2 5 5" xfId="10695" xr:uid="{68281349-0436-47BB-BF4B-E1ED43D812D9}"/>
    <cellStyle name="Normal 5 2 3 2 2 2 6" xfId="2582" xr:uid="{00000000-0005-0000-0000-000047180000}"/>
    <cellStyle name="Normal 5 2 3 2 2 2 6 2" xfId="6865" xr:uid="{00000000-0005-0000-0000-000048180000}"/>
    <cellStyle name="Normal 5 2 3 2 2 2 6 2 2" xfId="23800" xr:uid="{F860AB80-29C9-4ADA-BBAD-FF6AB3769CDA}"/>
    <cellStyle name="Normal 5 2 3 2 2 2 6 2 3" xfId="15359" xr:uid="{95F8B2AC-8B13-4C0C-AEE1-A34BC089EF53}"/>
    <cellStyle name="Normal 5 2 3 2 2 2 6 3" xfId="19582" xr:uid="{D5614F32-F37A-4BC7-A292-67AF0F4B0640}"/>
    <cellStyle name="Normal 5 2 3 2 2 2 6 4" xfId="11130" xr:uid="{4F4FE406-DFA6-4041-80A2-03215EE73D07}"/>
    <cellStyle name="Normal 5 2 3 2 2 2 7" xfId="4800" xr:uid="{00000000-0005-0000-0000-000049180000}"/>
    <cellStyle name="Normal 5 2 3 2 2 2 7 2" xfId="21735" xr:uid="{27DAFAFB-F6B8-4B30-957B-B8F28A483778}"/>
    <cellStyle name="Normal 5 2 3 2 2 2 7 3" xfId="13294" xr:uid="{96AB4416-DC5A-42D6-9A40-CCCE98E1DB4E}"/>
    <cellStyle name="Normal 5 2 3 2 2 2 8" xfId="17517" xr:uid="{B4AB98FC-E485-4C36-974C-A3F7AF9C5E0C}"/>
    <cellStyle name="Normal 5 2 3 2 2 2 9" xfId="9042" xr:uid="{1E4EF98C-10BB-482B-B938-D26D4181FBBF}"/>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4292" xr:uid="{2B1199BF-2D24-40D9-9759-420A9BF70A98}"/>
    <cellStyle name="Normal 5 2 3 2 2 3 2 2 3" xfId="15851" xr:uid="{0B101A8A-4A25-46A1-A85C-A6A8FC538FA1}"/>
    <cellStyle name="Normal 5 2 3 2 2 3 2 3" xfId="20074" xr:uid="{35BDC8C0-8927-43DB-93CB-E10849CE2D4C}"/>
    <cellStyle name="Normal 5 2 3 2 2 3 2 4" xfId="11632" xr:uid="{C9621807-5FC2-4710-99CC-C58794978185}"/>
    <cellStyle name="Normal 5 2 3 2 2 3 3" xfId="5212" xr:uid="{00000000-0005-0000-0000-00004D180000}"/>
    <cellStyle name="Normal 5 2 3 2 2 3 3 2" xfId="22147" xr:uid="{501ABA9A-929D-4153-BA92-80556F1FDBC0}"/>
    <cellStyle name="Normal 5 2 3 2 2 3 3 3" xfId="13706" xr:uid="{04FC22FC-B878-4109-B348-A9F07974B936}"/>
    <cellStyle name="Normal 5 2 3 2 2 3 4" xfId="17929" xr:uid="{50BFE354-7F20-43C7-8547-7F64D675325C}"/>
    <cellStyle name="Normal 5 2 3 2 2 3 5" xfId="9455" xr:uid="{C1F834D3-769E-4278-B490-1CDBE9BB4C05}"/>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4705" xr:uid="{E8672791-5A88-4CD7-A333-BE72A384FACB}"/>
    <cellStyle name="Normal 5 2 3 2 2 4 2 2 3" xfId="16264" xr:uid="{63EB0C05-A996-4A46-91D5-174CC8254C4A}"/>
    <cellStyle name="Normal 5 2 3 2 2 4 2 3" xfId="20487" xr:uid="{76CF2E83-C7FF-451E-940E-D3C5152A39B6}"/>
    <cellStyle name="Normal 5 2 3 2 2 4 2 4" xfId="12045" xr:uid="{6872DDDA-FE50-48CE-8426-77AF061CC855}"/>
    <cellStyle name="Normal 5 2 3 2 2 4 3" xfId="5625" xr:uid="{00000000-0005-0000-0000-000051180000}"/>
    <cellStyle name="Normal 5 2 3 2 2 4 3 2" xfId="22560" xr:uid="{1DC35F23-3809-4E0E-888D-D8D16A9ED670}"/>
    <cellStyle name="Normal 5 2 3 2 2 4 3 3" xfId="14119" xr:uid="{AC2D0A06-DCFF-4445-B354-28D539CF49ED}"/>
    <cellStyle name="Normal 5 2 3 2 2 4 4" xfId="18342" xr:uid="{F09C9B05-156C-45D8-8EB8-4ED617468F74}"/>
    <cellStyle name="Normal 5 2 3 2 2 4 5" xfId="9868" xr:uid="{83747367-68C7-464E-B1E3-81D1F4815884}"/>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118" xr:uid="{7B900B6A-9572-445D-9C7A-2F963E315435}"/>
    <cellStyle name="Normal 5 2 3 2 2 5 2 2 3" xfId="16677" xr:uid="{D886BF6F-53BD-43F8-96C5-E126D62D1EF9}"/>
    <cellStyle name="Normal 5 2 3 2 2 5 2 3" xfId="20900" xr:uid="{E7611A4E-1512-4972-B36F-84EAE7512EBC}"/>
    <cellStyle name="Normal 5 2 3 2 2 5 2 4" xfId="12458" xr:uid="{B1816CCD-2B4A-43EC-964E-4C21E7E467BC}"/>
    <cellStyle name="Normal 5 2 3 2 2 5 3" xfId="6038" xr:uid="{00000000-0005-0000-0000-000055180000}"/>
    <cellStyle name="Normal 5 2 3 2 2 5 3 2" xfId="22973" xr:uid="{3E0FDC82-12B1-4508-B5BD-3A766C6919FA}"/>
    <cellStyle name="Normal 5 2 3 2 2 5 3 3" xfId="14532" xr:uid="{D2B549B5-BD61-4871-846B-1F5506FA1A77}"/>
    <cellStyle name="Normal 5 2 3 2 2 5 4" xfId="18755" xr:uid="{BD27DDF7-F7C1-4616-8B82-98E35A00AE64}"/>
    <cellStyle name="Normal 5 2 3 2 2 5 5" xfId="10281" xr:uid="{EBDCC9A9-0BF3-4553-B270-CCB5A11508EE}"/>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5531" xr:uid="{F541B810-B3EC-4310-B628-568AAB233443}"/>
    <cellStyle name="Normal 5 2 3 2 2 6 2 2 3" xfId="17090" xr:uid="{973D91FF-C2FC-4704-BB0D-8E80C4E02110}"/>
    <cellStyle name="Normal 5 2 3 2 2 6 2 3" xfId="21313" xr:uid="{FE5DF4FB-840A-4B06-B8CD-43E88779C7F6}"/>
    <cellStyle name="Normal 5 2 3 2 2 6 2 4" xfId="12871" xr:uid="{C9D1EA01-457C-4A23-82F7-0916EE44E323}"/>
    <cellStyle name="Normal 5 2 3 2 2 6 3" xfId="6451" xr:uid="{00000000-0005-0000-0000-000059180000}"/>
    <cellStyle name="Normal 5 2 3 2 2 6 3 2" xfId="23386" xr:uid="{A09E17B2-1CBA-43B5-9876-4290F96DA045}"/>
    <cellStyle name="Normal 5 2 3 2 2 6 3 3" xfId="14945" xr:uid="{9B9C35DB-D6DF-42A6-935F-2C6E823DDFA5}"/>
    <cellStyle name="Normal 5 2 3 2 2 6 4" xfId="19168" xr:uid="{BC9C0F94-341E-4A98-836D-75C1F0D39D19}"/>
    <cellStyle name="Normal 5 2 3 2 2 6 5" xfId="10694" xr:uid="{C4113DEA-AB64-4968-9D3C-5DFCC2B0683A}"/>
    <cellStyle name="Normal 5 2 3 2 2 7" xfId="2581" xr:uid="{00000000-0005-0000-0000-00005A180000}"/>
    <cellStyle name="Normal 5 2 3 2 2 7 2" xfId="6864" xr:uid="{00000000-0005-0000-0000-00005B180000}"/>
    <cellStyle name="Normal 5 2 3 2 2 7 2 2" xfId="23799" xr:uid="{4ED43E08-7DB7-4FA7-96C0-575DD2C6CDCF}"/>
    <cellStyle name="Normal 5 2 3 2 2 7 2 3" xfId="15358" xr:uid="{6911A307-847D-4827-B003-CE7952E387E5}"/>
    <cellStyle name="Normal 5 2 3 2 2 7 3" xfId="19581" xr:uid="{7B2D7254-B060-4DBC-9953-A34B0FBED2BD}"/>
    <cellStyle name="Normal 5 2 3 2 2 7 4" xfId="11129" xr:uid="{2463F301-CB38-4DF0-BF75-92F1AAAE07FF}"/>
    <cellStyle name="Normal 5 2 3 2 2 8" xfId="4799" xr:uid="{00000000-0005-0000-0000-00005C180000}"/>
    <cellStyle name="Normal 5 2 3 2 2 8 2" xfId="21734" xr:uid="{73EF68A8-018C-4464-8DF4-E4D224EA6D9E}"/>
    <cellStyle name="Normal 5 2 3 2 2 8 3" xfId="13293" xr:uid="{1FD2EE01-4436-4807-A674-EFE90D811B99}"/>
    <cellStyle name="Normal 5 2 3 2 2 9" xfId="17516" xr:uid="{D15A4FC2-5F23-4BB3-B6AE-00B59623D14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4294" xr:uid="{09E51A70-6D7C-4D6B-95EB-5A267E06E31E}"/>
    <cellStyle name="Normal 5 2 3 2 3 2 2 2 3" xfId="15853" xr:uid="{7E397363-9617-4867-80EE-82947EA46ECA}"/>
    <cellStyle name="Normal 5 2 3 2 3 2 2 3" xfId="20076" xr:uid="{0302DAEC-F9E5-461D-946E-25ED01F24868}"/>
    <cellStyle name="Normal 5 2 3 2 3 2 2 4" xfId="11634" xr:uid="{D2816127-2D6F-411B-9728-0849D6E3204A}"/>
    <cellStyle name="Normal 5 2 3 2 3 2 3" xfId="5214" xr:uid="{00000000-0005-0000-0000-000061180000}"/>
    <cellStyle name="Normal 5 2 3 2 3 2 3 2" xfId="22149" xr:uid="{E8399C88-8838-4893-9D6B-C9F7835C9956}"/>
    <cellStyle name="Normal 5 2 3 2 3 2 3 3" xfId="13708" xr:uid="{05A9ACF2-A64E-4917-962F-BD0661D2F07F}"/>
    <cellStyle name="Normal 5 2 3 2 3 2 4" xfId="17931" xr:uid="{EFD6C4B9-0C1A-4285-AF7B-27A2A916EFF4}"/>
    <cellStyle name="Normal 5 2 3 2 3 2 5" xfId="9457" xr:uid="{72D45DF8-8966-440B-B7B5-A0D68B3A1B8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4707" xr:uid="{A0C08195-99A3-4E20-A100-9C37320B54A4}"/>
    <cellStyle name="Normal 5 2 3 2 3 3 2 2 3" xfId="16266" xr:uid="{FC45406C-C46A-4FD0-BCE1-5F63912BF2A7}"/>
    <cellStyle name="Normal 5 2 3 2 3 3 2 3" xfId="20489" xr:uid="{8C9FBA03-7C4F-4AFA-9AF1-E073C526B997}"/>
    <cellStyle name="Normal 5 2 3 2 3 3 2 4" xfId="12047" xr:uid="{0D3B9756-9471-492D-A790-8033D948CB14}"/>
    <cellStyle name="Normal 5 2 3 2 3 3 3" xfId="5627" xr:uid="{00000000-0005-0000-0000-000065180000}"/>
    <cellStyle name="Normal 5 2 3 2 3 3 3 2" xfId="22562" xr:uid="{C4BD2445-B003-478D-811E-F5723D4AA922}"/>
    <cellStyle name="Normal 5 2 3 2 3 3 3 3" xfId="14121" xr:uid="{E7D3D004-47E2-4858-A2F0-DF446138C779}"/>
    <cellStyle name="Normal 5 2 3 2 3 3 4" xfId="18344" xr:uid="{49FD19F2-3CD9-4455-B2FE-D6DB9BFB1E86}"/>
    <cellStyle name="Normal 5 2 3 2 3 3 5" xfId="9870" xr:uid="{053D9A2D-5166-4865-9862-D020D0C652A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120" xr:uid="{2F718995-C1C4-4DB6-8D3A-39BC580739DB}"/>
    <cellStyle name="Normal 5 2 3 2 3 4 2 2 3" xfId="16679" xr:uid="{5B69F655-4D3C-46F2-9A7A-6F7EE616FE09}"/>
    <cellStyle name="Normal 5 2 3 2 3 4 2 3" xfId="20902" xr:uid="{C794A8CB-AC30-47FC-A8AD-3EDF828B0AFF}"/>
    <cellStyle name="Normal 5 2 3 2 3 4 2 4" xfId="12460" xr:uid="{409D8632-BA1B-49E8-A072-FBCD5063962F}"/>
    <cellStyle name="Normal 5 2 3 2 3 4 3" xfId="6040" xr:uid="{00000000-0005-0000-0000-000069180000}"/>
    <cellStyle name="Normal 5 2 3 2 3 4 3 2" xfId="22975" xr:uid="{DBEFF202-B88A-4869-BF4A-742E0253B699}"/>
    <cellStyle name="Normal 5 2 3 2 3 4 3 3" xfId="14534" xr:uid="{C974A8EE-4F7F-40DA-8B38-2C5B9390BE44}"/>
    <cellStyle name="Normal 5 2 3 2 3 4 4" xfId="18757" xr:uid="{2FF9D81B-5B67-4846-9895-456A52072A91}"/>
    <cellStyle name="Normal 5 2 3 2 3 4 5" xfId="10283" xr:uid="{FF1E26E6-85E4-45F6-A90C-CAE5A9545D4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5533" xr:uid="{264BA355-4075-4345-B1C7-6CD2B0E79D95}"/>
    <cellStyle name="Normal 5 2 3 2 3 5 2 2 3" xfId="17092" xr:uid="{66756810-A775-441D-8E52-09F5E326F1D1}"/>
    <cellStyle name="Normal 5 2 3 2 3 5 2 3" xfId="21315" xr:uid="{F4D6AF29-0A6A-46AA-A0E2-946238487D41}"/>
    <cellStyle name="Normal 5 2 3 2 3 5 2 4" xfId="12873" xr:uid="{C29B6B6D-72F9-4987-A672-8813A6852453}"/>
    <cellStyle name="Normal 5 2 3 2 3 5 3" xfId="6453" xr:uid="{00000000-0005-0000-0000-00006D180000}"/>
    <cellStyle name="Normal 5 2 3 2 3 5 3 2" xfId="23388" xr:uid="{58B4122E-6D27-4D7A-BA97-91609458B0A2}"/>
    <cellStyle name="Normal 5 2 3 2 3 5 3 3" xfId="14947" xr:uid="{E23B5DD0-9E67-4FD3-BFF7-118EDEE6998D}"/>
    <cellStyle name="Normal 5 2 3 2 3 5 4" xfId="19170" xr:uid="{8FC994A9-EED7-4C84-AF72-D46A48A828C9}"/>
    <cellStyle name="Normal 5 2 3 2 3 5 5" xfId="10696" xr:uid="{E8B14726-FF50-4D30-9D04-4EE3E29C20B5}"/>
    <cellStyle name="Normal 5 2 3 2 3 6" xfId="2583" xr:uid="{00000000-0005-0000-0000-00006E180000}"/>
    <cellStyle name="Normal 5 2 3 2 3 6 2" xfId="6866" xr:uid="{00000000-0005-0000-0000-00006F180000}"/>
    <cellStyle name="Normal 5 2 3 2 3 6 2 2" xfId="23801" xr:uid="{1D77ACE6-E391-4E79-B84C-FB7B8F77B80B}"/>
    <cellStyle name="Normal 5 2 3 2 3 6 2 3" xfId="15360" xr:uid="{EDC50C75-60D2-4B56-982B-5C8426B402AF}"/>
    <cellStyle name="Normal 5 2 3 2 3 6 3" xfId="19583" xr:uid="{25E2EBB0-3173-4D54-9ABD-652CCDFEB4D9}"/>
    <cellStyle name="Normal 5 2 3 2 3 6 4" xfId="11131" xr:uid="{30CF1E3F-2024-437B-9691-1EB76867821A}"/>
    <cellStyle name="Normal 5 2 3 2 3 7" xfId="4801" xr:uid="{00000000-0005-0000-0000-000070180000}"/>
    <cellStyle name="Normal 5 2 3 2 3 7 2" xfId="21736" xr:uid="{27B5E6D8-C076-46AE-8B35-E4D58D25AA75}"/>
    <cellStyle name="Normal 5 2 3 2 3 7 3" xfId="13295" xr:uid="{1DDAFAF8-EDC2-434D-962A-6B13B5E05F63}"/>
    <cellStyle name="Normal 5 2 3 2 3 8" xfId="17518" xr:uid="{3E20CEFD-0D07-4C85-AA83-7F190C0268C2}"/>
    <cellStyle name="Normal 5 2 3 2 3 9" xfId="9043" xr:uid="{71E5EB3F-D883-4CC4-B59D-9BBDAC50D1E2}"/>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4291" xr:uid="{A975C819-DB14-408F-99EA-36D89A28A9F7}"/>
    <cellStyle name="Normal 5 2 3 2 4 2 2 3" xfId="15850" xr:uid="{40E8D57C-D202-4E4B-9DA6-0DEC24EF1656}"/>
    <cellStyle name="Normal 5 2 3 2 4 2 3" xfId="20073" xr:uid="{9A0D6035-768F-4C36-81E7-62B88C38819A}"/>
    <cellStyle name="Normal 5 2 3 2 4 2 4" xfId="11631" xr:uid="{D2B2DD60-2BA8-4533-905B-160960A86758}"/>
    <cellStyle name="Normal 5 2 3 2 4 3" xfId="5211" xr:uid="{00000000-0005-0000-0000-000074180000}"/>
    <cellStyle name="Normal 5 2 3 2 4 3 2" xfId="22146" xr:uid="{D8AEE698-3174-4C87-BF58-4A0B1DBBD542}"/>
    <cellStyle name="Normal 5 2 3 2 4 3 3" xfId="13705" xr:uid="{66A91549-D4BA-4203-9A87-7DAAC0DBBDEB}"/>
    <cellStyle name="Normal 5 2 3 2 4 4" xfId="17928" xr:uid="{F7C05B1A-4479-4AF7-A2B8-83D03D903172}"/>
    <cellStyle name="Normal 5 2 3 2 4 5" xfId="9454" xr:uid="{2A640710-746C-4D39-9D1F-56CCA1B54DCD}"/>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4704" xr:uid="{D70E0594-4DB6-4B3E-899B-0874369B6FEC}"/>
    <cellStyle name="Normal 5 2 3 2 5 2 2 3" xfId="16263" xr:uid="{A4F7D9B5-EF1F-4B1B-9B9E-F928DE028EEC}"/>
    <cellStyle name="Normal 5 2 3 2 5 2 3" xfId="20486" xr:uid="{E866412D-AC9B-478C-AFA0-A4F21EA99A68}"/>
    <cellStyle name="Normal 5 2 3 2 5 2 4" xfId="12044" xr:uid="{9CCC705A-FADD-4505-9731-6B10D5703A2F}"/>
    <cellStyle name="Normal 5 2 3 2 5 3" xfId="5624" xr:uid="{00000000-0005-0000-0000-000078180000}"/>
    <cellStyle name="Normal 5 2 3 2 5 3 2" xfId="22559" xr:uid="{592EF0B4-6382-4C93-937D-F55AF74CB4E3}"/>
    <cellStyle name="Normal 5 2 3 2 5 3 3" xfId="14118" xr:uid="{C8D6CDC3-B91F-47BF-B274-78649AC0D3C0}"/>
    <cellStyle name="Normal 5 2 3 2 5 4" xfId="18341" xr:uid="{22C52C50-40C0-4D8A-8140-6A1D4BF223C3}"/>
    <cellStyle name="Normal 5 2 3 2 5 5" xfId="9867" xr:uid="{9C022D63-D62D-490E-9C0E-4AA841BB5982}"/>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117" xr:uid="{A7023494-979A-4D19-9CE0-B3C7DFA552B1}"/>
    <cellStyle name="Normal 5 2 3 2 6 2 2 3" xfId="16676" xr:uid="{D7A292F6-EA6C-435A-A9F2-20B650B6D577}"/>
    <cellStyle name="Normal 5 2 3 2 6 2 3" xfId="20899" xr:uid="{5C3B67E7-72C9-494B-8BEF-88759AF02555}"/>
    <cellStyle name="Normal 5 2 3 2 6 2 4" xfId="12457" xr:uid="{3C79F164-8BF7-43C8-AE52-B9961ADF1C0E}"/>
    <cellStyle name="Normal 5 2 3 2 6 3" xfId="6037" xr:uid="{00000000-0005-0000-0000-00007C180000}"/>
    <cellStyle name="Normal 5 2 3 2 6 3 2" xfId="22972" xr:uid="{D0817BF5-0359-4B66-82C7-BB5CFD82EA7A}"/>
    <cellStyle name="Normal 5 2 3 2 6 3 3" xfId="14531" xr:uid="{5B5A2017-57F3-4ACB-A7DA-C30710302BB6}"/>
    <cellStyle name="Normal 5 2 3 2 6 4" xfId="18754" xr:uid="{581D2557-F318-44E5-A26D-D400726EE161}"/>
    <cellStyle name="Normal 5 2 3 2 6 5" xfId="10280" xr:uid="{C85CD916-DE2F-40A7-8ABD-1BC695B80AB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5530" xr:uid="{4EB40B9A-A2DC-41D7-A140-85222CC205DD}"/>
    <cellStyle name="Normal 5 2 3 2 7 2 2 3" xfId="17089" xr:uid="{CD44E668-6788-4634-BCE4-32EB783BA92D}"/>
    <cellStyle name="Normal 5 2 3 2 7 2 3" xfId="21312" xr:uid="{B4465EC5-FE3A-4A92-AD1B-C005CE3E6561}"/>
    <cellStyle name="Normal 5 2 3 2 7 2 4" xfId="12870" xr:uid="{8567F74F-8062-48B4-8D16-E7F130A68425}"/>
    <cellStyle name="Normal 5 2 3 2 7 3" xfId="6450" xr:uid="{00000000-0005-0000-0000-000080180000}"/>
    <cellStyle name="Normal 5 2 3 2 7 3 2" xfId="23385" xr:uid="{64CBEF6E-D74A-4752-B29E-4361EC77705F}"/>
    <cellStyle name="Normal 5 2 3 2 7 3 3" xfId="14944" xr:uid="{3482CA89-54DF-4465-A9AD-A5892970BBAC}"/>
    <cellStyle name="Normal 5 2 3 2 7 4" xfId="19167" xr:uid="{2999DE6D-FC2E-4031-8730-CF211A163C60}"/>
    <cellStyle name="Normal 5 2 3 2 7 5" xfId="10693" xr:uid="{03E3AD3C-7D59-401C-8B78-A8E8A5BCB17D}"/>
    <cellStyle name="Normal 5 2 3 2 8" xfId="2580" xr:uid="{00000000-0005-0000-0000-000081180000}"/>
    <cellStyle name="Normal 5 2 3 2 8 2" xfId="6863" xr:uid="{00000000-0005-0000-0000-000082180000}"/>
    <cellStyle name="Normal 5 2 3 2 8 2 2" xfId="23798" xr:uid="{F1B82C03-0FE6-4DC6-B629-C1B13FAE7066}"/>
    <cellStyle name="Normal 5 2 3 2 8 2 3" xfId="15357" xr:uid="{E0444244-0EEE-4F46-B010-9F4D77F00E7F}"/>
    <cellStyle name="Normal 5 2 3 2 8 3" xfId="19580" xr:uid="{17DA8A44-5892-4955-ABC4-94D56DDD7040}"/>
    <cellStyle name="Normal 5 2 3 2 8 4" xfId="11128" xr:uid="{6C41758C-1E6A-4096-B374-DC9A13ED13E3}"/>
    <cellStyle name="Normal 5 2 3 2 9" xfId="4798" xr:uid="{00000000-0005-0000-0000-000083180000}"/>
    <cellStyle name="Normal 5 2 3 2 9 2" xfId="21733" xr:uid="{24A56B58-92FE-4E2A-9882-3E25E353ACDA}"/>
    <cellStyle name="Normal 5 2 3 2 9 3" xfId="13292" xr:uid="{1DD87FA4-B354-4539-81FE-7EBE3506B07E}"/>
    <cellStyle name="Normal 5 2 3 3" xfId="429" xr:uid="{00000000-0005-0000-0000-000084180000}"/>
    <cellStyle name="Normal 5 2 3 3 10" xfId="9044" xr:uid="{82EA691A-A67B-4F82-B721-313883EC2FDE}"/>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4296" xr:uid="{D781E2BF-889F-4010-902E-9C9758040C42}"/>
    <cellStyle name="Normal 5 2 3 3 2 2 2 2 3" xfId="15855" xr:uid="{0553FAE4-460A-40DC-AADD-E1772A99822A}"/>
    <cellStyle name="Normal 5 2 3 3 2 2 2 3" xfId="20078" xr:uid="{1A346344-0CC4-4BB1-9646-E772357275E1}"/>
    <cellStyle name="Normal 5 2 3 3 2 2 2 4" xfId="11636" xr:uid="{2D033F90-BD5E-4BE6-915D-0B76D6AC822C}"/>
    <cellStyle name="Normal 5 2 3 3 2 2 3" xfId="5216" xr:uid="{00000000-0005-0000-0000-000089180000}"/>
    <cellStyle name="Normal 5 2 3 3 2 2 3 2" xfId="22151" xr:uid="{B7E9F2E4-9994-4BC0-B0B4-3B3520B06923}"/>
    <cellStyle name="Normal 5 2 3 3 2 2 3 3" xfId="13710" xr:uid="{95CEF349-6649-44BC-B3D3-D17DAE2EE0A2}"/>
    <cellStyle name="Normal 5 2 3 3 2 2 4" xfId="17933" xr:uid="{FEB48566-E964-4133-BE16-92D6663E13C8}"/>
    <cellStyle name="Normal 5 2 3 3 2 2 5" xfId="9459" xr:uid="{A1220659-C1A6-4219-840A-AA8497A1D4EB}"/>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4709" xr:uid="{8C3A864A-ACA1-4AFF-A14F-17CCC22DC0A8}"/>
    <cellStyle name="Normal 5 2 3 3 2 3 2 2 3" xfId="16268" xr:uid="{D8F2DC29-7965-4A27-B5DB-418055968024}"/>
    <cellStyle name="Normal 5 2 3 3 2 3 2 3" xfId="20491" xr:uid="{4CCD0DCA-901F-422C-9FDA-CFFA9E830056}"/>
    <cellStyle name="Normal 5 2 3 3 2 3 2 4" xfId="12049" xr:uid="{4CA8E033-3CD5-43EE-8E44-B10DD5F6D0B9}"/>
    <cellStyle name="Normal 5 2 3 3 2 3 3" xfId="5629" xr:uid="{00000000-0005-0000-0000-00008D180000}"/>
    <cellStyle name="Normal 5 2 3 3 2 3 3 2" xfId="22564" xr:uid="{8F577A7F-58E4-4960-81F7-9AE6C483188D}"/>
    <cellStyle name="Normal 5 2 3 3 2 3 3 3" xfId="14123" xr:uid="{4764194B-5822-435E-9AE9-B3BE4D41A54D}"/>
    <cellStyle name="Normal 5 2 3 3 2 3 4" xfId="18346" xr:uid="{55724713-C4CC-4DCD-86B4-2D8E03D289A4}"/>
    <cellStyle name="Normal 5 2 3 3 2 3 5" xfId="9872" xr:uid="{A02985DC-04D1-4D53-A98E-166C51B43A66}"/>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122" xr:uid="{B3F41AC8-FA34-4C02-8E2C-6122D08AF9A9}"/>
    <cellStyle name="Normal 5 2 3 3 2 4 2 2 3" xfId="16681" xr:uid="{B991594B-1174-41B7-B25B-7620C9E079B5}"/>
    <cellStyle name="Normal 5 2 3 3 2 4 2 3" xfId="20904" xr:uid="{213B2241-3C95-4EDB-B334-8AA4F17F7168}"/>
    <cellStyle name="Normal 5 2 3 3 2 4 2 4" xfId="12462" xr:uid="{2B91F6B1-21AF-4850-89DB-A28B09F47EFD}"/>
    <cellStyle name="Normal 5 2 3 3 2 4 3" xfId="6042" xr:uid="{00000000-0005-0000-0000-000091180000}"/>
    <cellStyle name="Normal 5 2 3 3 2 4 3 2" xfId="22977" xr:uid="{0E63221E-4586-4536-A400-23E290F15DEB}"/>
    <cellStyle name="Normal 5 2 3 3 2 4 3 3" xfId="14536" xr:uid="{6BB2F4AC-624E-487C-9AAD-88B58041D365}"/>
    <cellStyle name="Normal 5 2 3 3 2 4 4" xfId="18759" xr:uid="{B2875A7B-9483-434C-AE52-F38781BA26AA}"/>
    <cellStyle name="Normal 5 2 3 3 2 4 5" xfId="10285" xr:uid="{CDFC4629-8D3C-4A34-B499-70E413CADFD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5535" xr:uid="{99FA002F-EB35-41A1-8293-B861C0363ADB}"/>
    <cellStyle name="Normal 5 2 3 3 2 5 2 2 3" xfId="17094" xr:uid="{C03C9F0D-E3CE-4FEB-A60A-EF870AC353B4}"/>
    <cellStyle name="Normal 5 2 3 3 2 5 2 3" xfId="21317" xr:uid="{A244F492-6A1B-4D2A-9FB1-C80871DC0D12}"/>
    <cellStyle name="Normal 5 2 3 3 2 5 2 4" xfId="12875" xr:uid="{B53D47C0-420F-4CE2-82FA-3F7E62D12A82}"/>
    <cellStyle name="Normal 5 2 3 3 2 5 3" xfId="6455" xr:uid="{00000000-0005-0000-0000-000095180000}"/>
    <cellStyle name="Normal 5 2 3 3 2 5 3 2" xfId="23390" xr:uid="{91EA5AD5-60E5-4530-A3AE-79E9EC45F689}"/>
    <cellStyle name="Normal 5 2 3 3 2 5 3 3" xfId="14949" xr:uid="{F772B2F3-14B7-4655-B3C1-CEF47C6AD4C7}"/>
    <cellStyle name="Normal 5 2 3 3 2 5 4" xfId="19172" xr:uid="{BA585FAE-775E-4CAD-9763-B70EFFCA3349}"/>
    <cellStyle name="Normal 5 2 3 3 2 5 5" xfId="10698" xr:uid="{B3853452-3A50-4147-AE4B-CA79245D11B0}"/>
    <cellStyle name="Normal 5 2 3 3 2 6" xfId="2585" xr:uid="{00000000-0005-0000-0000-000096180000}"/>
    <cellStyle name="Normal 5 2 3 3 2 6 2" xfId="6868" xr:uid="{00000000-0005-0000-0000-000097180000}"/>
    <cellStyle name="Normal 5 2 3 3 2 6 2 2" xfId="23803" xr:uid="{CACA83EE-E77B-4170-9642-6847FD4CCA4F}"/>
    <cellStyle name="Normal 5 2 3 3 2 6 2 3" xfId="15362" xr:uid="{8F8DD1C7-CA09-4304-885E-C243BDC77F29}"/>
    <cellStyle name="Normal 5 2 3 3 2 6 3" xfId="19585" xr:uid="{61130DD5-A3DA-4429-91F0-03A9E464FD6B}"/>
    <cellStyle name="Normal 5 2 3 3 2 6 4" xfId="11133" xr:uid="{102FC753-5BCE-44D0-A68D-1B32E001981B}"/>
    <cellStyle name="Normal 5 2 3 3 2 7" xfId="4803" xr:uid="{00000000-0005-0000-0000-000098180000}"/>
    <cellStyle name="Normal 5 2 3 3 2 7 2" xfId="21738" xr:uid="{8F7777A1-1B2A-4D08-91FE-223709FF3F95}"/>
    <cellStyle name="Normal 5 2 3 3 2 7 3" xfId="13297" xr:uid="{722DD30E-CB51-4188-A231-E61B6112F6FD}"/>
    <cellStyle name="Normal 5 2 3 3 2 8" xfId="17520" xr:uid="{787173C3-5DD0-4D6C-926B-D00A47F9E10C}"/>
    <cellStyle name="Normal 5 2 3 3 2 9" xfId="9045" xr:uid="{63B6F05F-5C51-49F8-912C-B35AD1D891E3}"/>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4295" xr:uid="{C1C81F12-1466-4A34-9AB4-B7EA5168C0FB}"/>
    <cellStyle name="Normal 5 2 3 3 3 2 2 3" xfId="15854" xr:uid="{41CC323F-A659-4444-9827-CBF7003EDE8F}"/>
    <cellStyle name="Normal 5 2 3 3 3 2 3" xfId="20077" xr:uid="{5019655D-AD3D-4101-BE9A-1C3D5BEEFEB6}"/>
    <cellStyle name="Normal 5 2 3 3 3 2 4" xfId="11635" xr:uid="{81E6703E-4D3E-4DE4-8BB7-D9337D8AA4D4}"/>
    <cellStyle name="Normal 5 2 3 3 3 3" xfId="5215" xr:uid="{00000000-0005-0000-0000-00009C180000}"/>
    <cellStyle name="Normal 5 2 3 3 3 3 2" xfId="22150" xr:uid="{967C1A5E-5CED-4583-9EC1-6390B0DEB627}"/>
    <cellStyle name="Normal 5 2 3 3 3 3 3" xfId="13709" xr:uid="{95516473-C2EC-45FD-919E-30F9A2AE1F83}"/>
    <cellStyle name="Normal 5 2 3 3 3 4" xfId="17932" xr:uid="{747FF103-05BC-46A2-BC2A-1732827D8B16}"/>
    <cellStyle name="Normal 5 2 3 3 3 5" xfId="9458" xr:uid="{BD7397F4-86B3-481F-BD01-A723CD0F36B4}"/>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4708" xr:uid="{8773F1D7-1771-45B7-A93F-F5460BCC8126}"/>
    <cellStyle name="Normal 5 2 3 3 4 2 2 3" xfId="16267" xr:uid="{E8DFCBD7-F8DC-4DB7-A3A2-4D6D235C5569}"/>
    <cellStyle name="Normal 5 2 3 3 4 2 3" xfId="20490" xr:uid="{A8E03F74-0F8B-4F1C-BFE8-3FB9461AA43B}"/>
    <cellStyle name="Normal 5 2 3 3 4 2 4" xfId="12048" xr:uid="{3697FA79-6E16-4195-9162-4C516EF10C2F}"/>
    <cellStyle name="Normal 5 2 3 3 4 3" xfId="5628" xr:uid="{00000000-0005-0000-0000-0000A0180000}"/>
    <cellStyle name="Normal 5 2 3 3 4 3 2" xfId="22563" xr:uid="{44155627-3B3C-4804-8451-EDB83821396B}"/>
    <cellStyle name="Normal 5 2 3 3 4 3 3" xfId="14122" xr:uid="{5396602E-083F-49F4-B13B-14974DA8CB4C}"/>
    <cellStyle name="Normal 5 2 3 3 4 4" xfId="18345" xr:uid="{B8BB4A8A-B5A6-4A5B-8731-170B90E25247}"/>
    <cellStyle name="Normal 5 2 3 3 4 5" xfId="9871" xr:uid="{69AE8B80-4484-4590-AAF9-D7E8B9AB2473}"/>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121" xr:uid="{01603D52-CA2A-40F2-BD98-5F058977EBB6}"/>
    <cellStyle name="Normal 5 2 3 3 5 2 2 3" xfId="16680" xr:uid="{421518CC-6DBA-4B8E-835F-DAD05CB96079}"/>
    <cellStyle name="Normal 5 2 3 3 5 2 3" xfId="20903" xr:uid="{85206A66-6878-4F38-8C43-A6CEECAA99C6}"/>
    <cellStyle name="Normal 5 2 3 3 5 2 4" xfId="12461" xr:uid="{56FF45B4-BE2E-48BE-8AA0-0846867AFB11}"/>
    <cellStyle name="Normal 5 2 3 3 5 3" xfId="6041" xr:uid="{00000000-0005-0000-0000-0000A4180000}"/>
    <cellStyle name="Normal 5 2 3 3 5 3 2" xfId="22976" xr:uid="{75FB5714-690A-47E5-8E7A-5D5D4AA3E174}"/>
    <cellStyle name="Normal 5 2 3 3 5 3 3" xfId="14535" xr:uid="{03FD8B7C-123F-47E8-87D9-296325A68809}"/>
    <cellStyle name="Normal 5 2 3 3 5 4" xfId="18758" xr:uid="{05911B6B-21B1-47E3-88CE-2BA4CF9D635F}"/>
    <cellStyle name="Normal 5 2 3 3 5 5" xfId="10284" xr:uid="{047BF198-FAA1-4871-8DA3-7A6D79BB5A14}"/>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5534" xr:uid="{E7061405-C4D0-4109-B4BB-D14AE8E6E580}"/>
    <cellStyle name="Normal 5 2 3 3 6 2 2 3" xfId="17093" xr:uid="{AE3978D8-07B3-4769-ADEF-A75FFD72FFAA}"/>
    <cellStyle name="Normal 5 2 3 3 6 2 3" xfId="21316" xr:uid="{2C900CA8-0651-4D81-BD74-13250C96B146}"/>
    <cellStyle name="Normal 5 2 3 3 6 2 4" xfId="12874" xr:uid="{3E20A41A-912B-4EF4-A23F-4AC16B20FE39}"/>
    <cellStyle name="Normal 5 2 3 3 6 3" xfId="6454" xr:uid="{00000000-0005-0000-0000-0000A8180000}"/>
    <cellStyle name="Normal 5 2 3 3 6 3 2" xfId="23389" xr:uid="{D45C2926-9328-403E-9408-415B7DA1744D}"/>
    <cellStyle name="Normal 5 2 3 3 6 3 3" xfId="14948" xr:uid="{D7919AB6-FD78-4D59-90C7-38CB5769628D}"/>
    <cellStyle name="Normal 5 2 3 3 6 4" xfId="19171" xr:uid="{E3F0E7BF-1C16-4D38-BB1E-B85625AF8CA4}"/>
    <cellStyle name="Normal 5 2 3 3 6 5" xfId="10697" xr:uid="{84C254FC-3BC9-4A73-97CF-568061F19B83}"/>
    <cellStyle name="Normal 5 2 3 3 7" xfId="2584" xr:uid="{00000000-0005-0000-0000-0000A9180000}"/>
    <cellStyle name="Normal 5 2 3 3 7 2" xfId="6867" xr:uid="{00000000-0005-0000-0000-0000AA180000}"/>
    <cellStyle name="Normal 5 2 3 3 7 2 2" xfId="23802" xr:uid="{BF3CBB5B-B8EC-4230-AFB2-1B3DEE6977F8}"/>
    <cellStyle name="Normal 5 2 3 3 7 2 3" xfId="15361" xr:uid="{D2F23F10-6FEC-4DA2-9476-857A763A4C40}"/>
    <cellStyle name="Normal 5 2 3 3 7 3" xfId="19584" xr:uid="{E15F76F6-EB75-43E6-8A38-6E865FB265FC}"/>
    <cellStyle name="Normal 5 2 3 3 7 4" xfId="11132" xr:uid="{C2DD4A4C-A8EF-41E3-B2ED-D6876F433113}"/>
    <cellStyle name="Normal 5 2 3 3 8" xfId="4802" xr:uid="{00000000-0005-0000-0000-0000AB180000}"/>
    <cellStyle name="Normal 5 2 3 3 8 2" xfId="21737" xr:uid="{8BEA3CD4-82CC-4937-A719-38CDA0F52938}"/>
    <cellStyle name="Normal 5 2 3 3 8 3" xfId="13296" xr:uid="{82B0FDDC-36C2-403B-945F-CC42C17CAC71}"/>
    <cellStyle name="Normal 5 2 3 3 9" xfId="17519" xr:uid="{EFB614F1-CED8-4B69-BC15-D2A71A35037C}"/>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4297" xr:uid="{9BE79BD8-56AC-4B24-9550-4B8C9BF63914}"/>
    <cellStyle name="Normal 5 2 3 4 2 2 2 3" xfId="15856" xr:uid="{31790D73-CD78-448A-BA96-3E3991F9E197}"/>
    <cellStyle name="Normal 5 2 3 4 2 2 3" xfId="20079" xr:uid="{3FEC49BD-6D41-4E5F-91CD-2D363C237ACC}"/>
    <cellStyle name="Normal 5 2 3 4 2 2 4" xfId="11637" xr:uid="{58DF507C-5DE6-47E7-84D4-448D4044E57B}"/>
    <cellStyle name="Normal 5 2 3 4 2 3" xfId="5217" xr:uid="{00000000-0005-0000-0000-0000B0180000}"/>
    <cellStyle name="Normal 5 2 3 4 2 3 2" xfId="22152" xr:uid="{A92E5E26-F637-497C-B452-18D44C3F42D6}"/>
    <cellStyle name="Normal 5 2 3 4 2 3 3" xfId="13711" xr:uid="{40884C1D-3A7A-4AD1-9965-8AC6D6367D74}"/>
    <cellStyle name="Normal 5 2 3 4 2 4" xfId="17934" xr:uid="{D9D182BE-2EE3-4B2A-8901-F2702CB95B70}"/>
    <cellStyle name="Normal 5 2 3 4 2 5" xfId="9460" xr:uid="{0E505323-07D3-400E-82F6-D06CAFE8D8DE}"/>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4710" xr:uid="{048D77F4-F128-45AE-899D-E370D9F4351D}"/>
    <cellStyle name="Normal 5 2 3 4 3 2 2 3" xfId="16269" xr:uid="{58E241F2-50A0-48AD-8F2C-EEE4026A1F09}"/>
    <cellStyle name="Normal 5 2 3 4 3 2 3" xfId="20492" xr:uid="{DFD40592-903E-4320-876C-6D2D64371C85}"/>
    <cellStyle name="Normal 5 2 3 4 3 2 4" xfId="12050" xr:uid="{1D53ABA9-12D2-4683-9ECF-2D8F973F8A3A}"/>
    <cellStyle name="Normal 5 2 3 4 3 3" xfId="5630" xr:uid="{00000000-0005-0000-0000-0000B4180000}"/>
    <cellStyle name="Normal 5 2 3 4 3 3 2" xfId="22565" xr:uid="{3D3C157A-7ED7-46D2-AA78-4A559E2EB72F}"/>
    <cellStyle name="Normal 5 2 3 4 3 3 3" xfId="14124" xr:uid="{8D0734DF-C39E-4CBD-934A-A9BB46EC9313}"/>
    <cellStyle name="Normal 5 2 3 4 3 4" xfId="18347" xr:uid="{75BC60EF-FB32-44C7-BB1A-48683BAC5406}"/>
    <cellStyle name="Normal 5 2 3 4 3 5" xfId="9873" xr:uid="{04570C6C-6786-432D-BE1E-BCBA01F16D6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123" xr:uid="{32CC8E2D-374F-4978-9C74-F1435FB97BFE}"/>
    <cellStyle name="Normal 5 2 3 4 4 2 2 3" xfId="16682" xr:uid="{B79F29C6-D5E5-4569-BBAA-08CB00ED7A2C}"/>
    <cellStyle name="Normal 5 2 3 4 4 2 3" xfId="20905" xr:uid="{1B6B29FC-E5CF-4C5C-A241-DE9E360AED96}"/>
    <cellStyle name="Normal 5 2 3 4 4 2 4" xfId="12463" xr:uid="{F03E470F-C4CD-4587-8A2D-597EF1D6CD66}"/>
    <cellStyle name="Normal 5 2 3 4 4 3" xfId="6043" xr:uid="{00000000-0005-0000-0000-0000B8180000}"/>
    <cellStyle name="Normal 5 2 3 4 4 3 2" xfId="22978" xr:uid="{2CC2473B-C363-49E9-8849-BD54A3E7FBF9}"/>
    <cellStyle name="Normal 5 2 3 4 4 3 3" xfId="14537" xr:uid="{CFCB139E-F1DE-443F-B138-8FCC95F85A99}"/>
    <cellStyle name="Normal 5 2 3 4 4 4" xfId="18760" xr:uid="{0EAD588E-822D-4869-9594-C579722E021C}"/>
    <cellStyle name="Normal 5 2 3 4 4 5" xfId="10286" xr:uid="{FEA72B5D-8E33-499A-9F00-9020393C0E11}"/>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5536" xr:uid="{250E8EEE-7D7C-45B5-B409-0C7A949AA8C1}"/>
    <cellStyle name="Normal 5 2 3 4 5 2 2 3" xfId="17095" xr:uid="{CF22B30C-2818-40B9-B4CC-60F1D49EAEDD}"/>
    <cellStyle name="Normal 5 2 3 4 5 2 3" xfId="21318" xr:uid="{3E73C952-4201-41F3-B94D-774A17F5FBD5}"/>
    <cellStyle name="Normal 5 2 3 4 5 2 4" xfId="12876" xr:uid="{D518BF89-14F3-4450-A7AB-CAED08405BA5}"/>
    <cellStyle name="Normal 5 2 3 4 5 3" xfId="6456" xr:uid="{00000000-0005-0000-0000-0000BC180000}"/>
    <cellStyle name="Normal 5 2 3 4 5 3 2" xfId="23391" xr:uid="{07590252-4399-4127-B929-5AEE773E4616}"/>
    <cellStyle name="Normal 5 2 3 4 5 3 3" xfId="14950" xr:uid="{D6369A27-9DCB-4100-8CDF-D0147B2E3F29}"/>
    <cellStyle name="Normal 5 2 3 4 5 4" xfId="19173" xr:uid="{34F9A36C-84FD-4693-B0A3-559B0545F136}"/>
    <cellStyle name="Normal 5 2 3 4 5 5" xfId="10699" xr:uid="{E3752021-5566-4699-9521-5D8CE239688F}"/>
    <cellStyle name="Normal 5 2 3 4 6" xfId="2586" xr:uid="{00000000-0005-0000-0000-0000BD180000}"/>
    <cellStyle name="Normal 5 2 3 4 6 2" xfId="6869" xr:uid="{00000000-0005-0000-0000-0000BE180000}"/>
    <cellStyle name="Normal 5 2 3 4 6 2 2" xfId="23804" xr:uid="{5FDE2D7C-0EEE-4E38-B9A2-93BD739F5728}"/>
    <cellStyle name="Normal 5 2 3 4 6 2 3" xfId="15363" xr:uid="{FFA82D35-57ED-441B-B974-ECDA5D699B04}"/>
    <cellStyle name="Normal 5 2 3 4 6 3" xfId="19586" xr:uid="{CDEC2772-DF74-4F7C-A224-BA8E3447649D}"/>
    <cellStyle name="Normal 5 2 3 4 6 4" xfId="11134" xr:uid="{F0631CA3-03D3-4E77-B475-E4B8DE118F87}"/>
    <cellStyle name="Normal 5 2 3 4 7" xfId="4804" xr:uid="{00000000-0005-0000-0000-0000BF180000}"/>
    <cellStyle name="Normal 5 2 3 4 7 2" xfId="21739" xr:uid="{32A61E2E-85CF-4D2A-BD0F-661E42912D77}"/>
    <cellStyle name="Normal 5 2 3 4 7 3" xfId="13298" xr:uid="{2D9E3385-8C99-4154-AF05-3C86BD249FED}"/>
    <cellStyle name="Normal 5 2 3 4 8" xfId="17521" xr:uid="{6F9A2A27-E184-443F-A9AF-3AE2A80CB839}"/>
    <cellStyle name="Normal 5 2 3 4 9" xfId="9046" xr:uid="{17B98DBD-F31C-4775-9BD9-36BECF4326C3}"/>
    <cellStyle name="Normal 5 2 3 5" xfId="898" xr:uid="{00000000-0005-0000-0000-0000C0180000}"/>
    <cellStyle name="Normal 5 2 3 5 2" xfId="3133" xr:uid="{00000000-0005-0000-0000-0000C1180000}"/>
    <cellStyle name="Normal 5 2 3 5 2 2" xfId="7355" xr:uid="{00000000-0005-0000-0000-0000C2180000}"/>
    <cellStyle name="Normal 5 2 3 5 2 2 2" xfId="24290" xr:uid="{42D6F341-81AC-4CFB-A16D-3F2C8F76B0A1}"/>
    <cellStyle name="Normal 5 2 3 5 2 2 3" xfId="15849" xr:uid="{CC0D0783-8D78-43A6-82F3-A6815BDAE536}"/>
    <cellStyle name="Normal 5 2 3 5 2 3" xfId="20072" xr:uid="{D100D025-D459-408D-814E-F323AA520F23}"/>
    <cellStyle name="Normal 5 2 3 5 2 4" xfId="11630" xr:uid="{7E7A9B78-C9FE-48E7-82E0-1B9B8D523579}"/>
    <cellStyle name="Normal 5 2 3 5 3" xfId="5210" xr:uid="{00000000-0005-0000-0000-0000C3180000}"/>
    <cellStyle name="Normal 5 2 3 5 3 2" xfId="22145" xr:uid="{9C1A65E0-FB42-4F0F-BD6C-4964ADBF9EFC}"/>
    <cellStyle name="Normal 5 2 3 5 3 3" xfId="13704" xr:uid="{56A71220-D568-44CA-B8EE-A4B2E50A5297}"/>
    <cellStyle name="Normal 5 2 3 5 4" xfId="17927" xr:uid="{4682CB42-F9C7-4010-975E-26F1A56124BC}"/>
    <cellStyle name="Normal 5 2 3 5 5" xfId="9453" xr:uid="{F1180AAE-ECD9-41EF-9DD7-B53BB8E48CE4}"/>
    <cellStyle name="Normal 5 2 3 6" xfId="1316" xr:uid="{00000000-0005-0000-0000-0000C4180000}"/>
    <cellStyle name="Normal 5 2 3 6 2" xfId="3546" xr:uid="{00000000-0005-0000-0000-0000C5180000}"/>
    <cellStyle name="Normal 5 2 3 6 2 2" xfId="7768" xr:uid="{00000000-0005-0000-0000-0000C6180000}"/>
    <cellStyle name="Normal 5 2 3 6 2 2 2" xfId="24703" xr:uid="{1C963548-54CE-41B2-9361-1C9A8934E8A3}"/>
    <cellStyle name="Normal 5 2 3 6 2 2 3" xfId="16262" xr:uid="{4C9D3E4C-B841-4655-91D7-FC63EA67CC4A}"/>
    <cellStyle name="Normal 5 2 3 6 2 3" xfId="20485" xr:uid="{F5A5E272-CE73-4AB2-BEDC-4AB5AC8C5BEA}"/>
    <cellStyle name="Normal 5 2 3 6 2 4" xfId="12043" xr:uid="{44DB30FE-5929-4E25-867B-A9E0D4F814FB}"/>
    <cellStyle name="Normal 5 2 3 6 3" xfId="5623" xr:uid="{00000000-0005-0000-0000-0000C7180000}"/>
    <cellStyle name="Normal 5 2 3 6 3 2" xfId="22558" xr:uid="{5356C40A-C3F4-4665-BD7E-559C644E8717}"/>
    <cellStyle name="Normal 5 2 3 6 3 3" xfId="14117" xr:uid="{B71044A9-AFC6-485D-9C48-E60119658B62}"/>
    <cellStyle name="Normal 5 2 3 6 4" xfId="18340" xr:uid="{93BF13F5-16AE-4389-AC43-EFEA1EF575B9}"/>
    <cellStyle name="Normal 5 2 3 6 5" xfId="9866" xr:uid="{318F7071-0472-4E31-A96C-A147D5467ECA}"/>
    <cellStyle name="Normal 5 2 3 7" xfId="1729" xr:uid="{00000000-0005-0000-0000-0000C8180000}"/>
    <cellStyle name="Normal 5 2 3 7 2" xfId="3959" xr:uid="{00000000-0005-0000-0000-0000C9180000}"/>
    <cellStyle name="Normal 5 2 3 7 2 2" xfId="8181" xr:uid="{00000000-0005-0000-0000-0000CA180000}"/>
    <cellStyle name="Normal 5 2 3 7 2 2 2" xfId="25116" xr:uid="{650529AB-3C0F-4FF6-98D8-84A583B1C424}"/>
    <cellStyle name="Normal 5 2 3 7 2 2 3" xfId="16675" xr:uid="{0A7A85EC-BF29-4C57-9D50-1B323C1DF189}"/>
    <cellStyle name="Normal 5 2 3 7 2 3" xfId="20898" xr:uid="{26B0C9AD-D426-4E3A-ADE5-5D2DFEB79A1C}"/>
    <cellStyle name="Normal 5 2 3 7 2 4" xfId="12456" xr:uid="{9A5B566C-5A46-4349-8F90-0DA8A32DAB00}"/>
    <cellStyle name="Normal 5 2 3 7 3" xfId="6036" xr:uid="{00000000-0005-0000-0000-0000CB180000}"/>
    <cellStyle name="Normal 5 2 3 7 3 2" xfId="22971" xr:uid="{17A93FD5-BE7E-4146-B18B-A2DFA2E44E95}"/>
    <cellStyle name="Normal 5 2 3 7 3 3" xfId="14530" xr:uid="{92299DD5-10B8-4962-A6A4-6248DA969102}"/>
    <cellStyle name="Normal 5 2 3 7 4" xfId="18753" xr:uid="{4834AB39-EE24-4A88-9738-D5AA764E63CC}"/>
    <cellStyle name="Normal 5 2 3 7 5" xfId="10279" xr:uid="{49C84509-D9A8-4C68-A6EC-B99A5A88FDAC}"/>
    <cellStyle name="Normal 5 2 3 8" xfId="2143" xr:uid="{00000000-0005-0000-0000-0000CC180000}"/>
    <cellStyle name="Normal 5 2 3 8 2" xfId="4372" xr:uid="{00000000-0005-0000-0000-0000CD180000}"/>
    <cellStyle name="Normal 5 2 3 8 2 2" xfId="8594" xr:uid="{00000000-0005-0000-0000-0000CE180000}"/>
    <cellStyle name="Normal 5 2 3 8 2 2 2" xfId="25529" xr:uid="{53E364FF-C024-4637-853B-D50520181421}"/>
    <cellStyle name="Normal 5 2 3 8 2 2 3" xfId="17088" xr:uid="{0FD0762C-6A6F-4DA6-858E-FCC6CE41EAE7}"/>
    <cellStyle name="Normal 5 2 3 8 2 3" xfId="21311" xr:uid="{AE4E7028-0CC6-4080-A0A1-341F7C6183D6}"/>
    <cellStyle name="Normal 5 2 3 8 2 4" xfId="12869" xr:uid="{07C594E4-1F34-4611-ADA0-E8CE3BF6DAED}"/>
    <cellStyle name="Normal 5 2 3 8 3" xfId="6449" xr:uid="{00000000-0005-0000-0000-0000CF180000}"/>
    <cellStyle name="Normal 5 2 3 8 3 2" xfId="23384" xr:uid="{4FED0183-42A5-4BEB-8F59-D2CD25B8B295}"/>
    <cellStyle name="Normal 5 2 3 8 3 3" xfId="14943" xr:uid="{9F7C5BF9-DC0C-440E-ADD7-BADCEC6A411A}"/>
    <cellStyle name="Normal 5 2 3 8 4" xfId="19166" xr:uid="{21ACD148-3582-4F72-90EE-F1A1BC036D91}"/>
    <cellStyle name="Normal 5 2 3 8 5" xfId="10692" xr:uid="{AD854DFF-508F-4142-9997-A0EA8403C9CE}"/>
    <cellStyle name="Normal 5 2 3 9" xfId="2579" xr:uid="{00000000-0005-0000-0000-0000D0180000}"/>
    <cellStyle name="Normal 5 2 3 9 2" xfId="6862" xr:uid="{00000000-0005-0000-0000-0000D1180000}"/>
    <cellStyle name="Normal 5 2 3 9 2 2" xfId="23797" xr:uid="{439DACD5-F77B-4863-9D93-44B40B2BE049}"/>
    <cellStyle name="Normal 5 2 3 9 2 3" xfId="15356" xr:uid="{FA0A1390-7351-46A8-94F0-82479FE4F341}"/>
    <cellStyle name="Normal 5 2 3 9 3" xfId="19579" xr:uid="{93B962F1-E347-4D5F-8B0F-D9BB82C75C7D}"/>
    <cellStyle name="Normal 5 2 3 9 4" xfId="11127" xr:uid="{4286AFBA-66BD-4913-9785-241F8AE3C493}"/>
    <cellStyle name="Normal 5 2 4" xfId="432" xr:uid="{00000000-0005-0000-0000-0000D2180000}"/>
    <cellStyle name="Normal 5 2 4 10" xfId="17522" xr:uid="{E3F3C668-9A5F-4275-98B4-AB142A04F85F}"/>
    <cellStyle name="Normal 5 2 4 11" xfId="9047" xr:uid="{56B1F911-2458-44AE-BE2E-8C05933BDBEB}"/>
    <cellStyle name="Normal 5 2 4 2" xfId="433" xr:uid="{00000000-0005-0000-0000-0000D3180000}"/>
    <cellStyle name="Normal 5 2 4 2 10" xfId="9048" xr:uid="{E8A626F0-7C71-4017-86CA-FEBC82176E2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4300" xr:uid="{A314B031-C3EA-486D-B42F-704DF8996783}"/>
    <cellStyle name="Normal 5 2 4 2 2 2 2 2 3" xfId="15859" xr:uid="{ACA01419-A527-404A-A213-278EFA881A47}"/>
    <cellStyle name="Normal 5 2 4 2 2 2 2 3" xfId="20082" xr:uid="{CC069C4D-B73E-46E7-8EE6-C1632877BC88}"/>
    <cellStyle name="Normal 5 2 4 2 2 2 2 4" xfId="11640" xr:uid="{D57D4B21-A01D-4D1F-BA7F-60ECA6F857CF}"/>
    <cellStyle name="Normal 5 2 4 2 2 2 3" xfId="5220" xr:uid="{00000000-0005-0000-0000-0000D8180000}"/>
    <cellStyle name="Normal 5 2 4 2 2 2 3 2" xfId="22155" xr:uid="{01DBD14D-F022-41E0-B98B-066A3579B295}"/>
    <cellStyle name="Normal 5 2 4 2 2 2 3 3" xfId="13714" xr:uid="{61D2B1D5-1D17-4A9D-8B9B-55B8785CF447}"/>
    <cellStyle name="Normal 5 2 4 2 2 2 4" xfId="17937" xr:uid="{F4AD31EA-E9D7-4401-9316-BFD6BE3839BC}"/>
    <cellStyle name="Normal 5 2 4 2 2 2 5" xfId="9463" xr:uid="{00E28C35-C108-4257-BDD3-241239C6CD6D}"/>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4713" xr:uid="{9286BF88-2167-400A-8107-189DEE8FFD0A}"/>
    <cellStyle name="Normal 5 2 4 2 2 3 2 2 3" xfId="16272" xr:uid="{4A089A9F-757B-4AEA-B685-895073554727}"/>
    <cellStyle name="Normal 5 2 4 2 2 3 2 3" xfId="20495" xr:uid="{D88E3B2A-0F6F-4530-BAE4-94C035FE2029}"/>
    <cellStyle name="Normal 5 2 4 2 2 3 2 4" xfId="12053" xr:uid="{B04D7FF4-4DCA-44BA-9D81-7AEDA22889D7}"/>
    <cellStyle name="Normal 5 2 4 2 2 3 3" xfId="5633" xr:uid="{00000000-0005-0000-0000-0000DC180000}"/>
    <cellStyle name="Normal 5 2 4 2 2 3 3 2" xfId="22568" xr:uid="{43AA9315-7F75-45DD-A7C1-14FFA0BC0355}"/>
    <cellStyle name="Normal 5 2 4 2 2 3 3 3" xfId="14127" xr:uid="{EDCF06D5-16CA-40F4-86CE-95C0F5BAEBE2}"/>
    <cellStyle name="Normal 5 2 4 2 2 3 4" xfId="18350" xr:uid="{E7AF3B20-CA34-4AFB-A0A1-225A79BB00AF}"/>
    <cellStyle name="Normal 5 2 4 2 2 3 5" xfId="9876" xr:uid="{47EDE07D-B535-40CB-8498-89907949718C}"/>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126" xr:uid="{7A9BEFEE-81E9-450D-8BC9-59ACD41EE329}"/>
    <cellStyle name="Normal 5 2 4 2 2 4 2 2 3" xfId="16685" xr:uid="{C9BEF272-790A-4BCC-A485-E09316EC8612}"/>
    <cellStyle name="Normal 5 2 4 2 2 4 2 3" xfId="20908" xr:uid="{C6E6266A-34E0-4C4F-9411-98984F2F44AA}"/>
    <cellStyle name="Normal 5 2 4 2 2 4 2 4" xfId="12466" xr:uid="{58774AEB-31D4-448E-9C45-A6301820451F}"/>
    <cellStyle name="Normal 5 2 4 2 2 4 3" xfId="6046" xr:uid="{00000000-0005-0000-0000-0000E0180000}"/>
    <cellStyle name="Normal 5 2 4 2 2 4 3 2" xfId="22981" xr:uid="{3BE1C757-AECB-4AB9-9F95-2F370A7D9B0C}"/>
    <cellStyle name="Normal 5 2 4 2 2 4 3 3" xfId="14540" xr:uid="{D732AE12-A591-4450-AC55-9DC14164967C}"/>
    <cellStyle name="Normal 5 2 4 2 2 4 4" xfId="18763" xr:uid="{BC5B50AD-8F63-4EE1-A61F-583FB9AFA4B2}"/>
    <cellStyle name="Normal 5 2 4 2 2 4 5" xfId="10289" xr:uid="{86048E72-A932-468A-A607-974BAC38743B}"/>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5539" xr:uid="{B2AC7081-E80D-463A-A052-CB5123D78A7F}"/>
    <cellStyle name="Normal 5 2 4 2 2 5 2 2 3" xfId="17098" xr:uid="{03DEFC52-2BAF-443A-B54E-900F830359DD}"/>
    <cellStyle name="Normal 5 2 4 2 2 5 2 3" xfId="21321" xr:uid="{0C8DB903-70BD-448E-893D-4E0C3A7303D5}"/>
    <cellStyle name="Normal 5 2 4 2 2 5 2 4" xfId="12879" xr:uid="{B34E87AB-CEC4-41EE-9C57-257BDAD5069E}"/>
    <cellStyle name="Normal 5 2 4 2 2 5 3" xfId="6459" xr:uid="{00000000-0005-0000-0000-0000E4180000}"/>
    <cellStyle name="Normal 5 2 4 2 2 5 3 2" xfId="23394" xr:uid="{1134A049-D95A-4C7E-A507-F48481BABBC1}"/>
    <cellStyle name="Normal 5 2 4 2 2 5 3 3" xfId="14953" xr:uid="{5DEC934B-1367-4CAE-BF1F-2980F2378751}"/>
    <cellStyle name="Normal 5 2 4 2 2 5 4" xfId="19176" xr:uid="{1DB08140-4059-4EC8-A2F6-694BA3064C3B}"/>
    <cellStyle name="Normal 5 2 4 2 2 5 5" xfId="10702" xr:uid="{DFAE16EA-B2F1-4151-9E66-AEB2B19EB6E9}"/>
    <cellStyle name="Normal 5 2 4 2 2 6" xfId="2589" xr:uid="{00000000-0005-0000-0000-0000E5180000}"/>
    <cellStyle name="Normal 5 2 4 2 2 6 2" xfId="6872" xr:uid="{00000000-0005-0000-0000-0000E6180000}"/>
    <cellStyle name="Normal 5 2 4 2 2 6 2 2" xfId="23807" xr:uid="{639FD61E-7F00-47DC-878E-7E9710E126BF}"/>
    <cellStyle name="Normal 5 2 4 2 2 6 2 3" xfId="15366" xr:uid="{3C54056A-EAA2-457F-A308-05F99D8FF1DE}"/>
    <cellStyle name="Normal 5 2 4 2 2 6 3" xfId="19589" xr:uid="{720B94B3-B08B-4274-9414-CA170AF59142}"/>
    <cellStyle name="Normal 5 2 4 2 2 6 4" xfId="11137" xr:uid="{0EDD3C54-55BB-4B49-A667-8111BEC8F7C0}"/>
    <cellStyle name="Normal 5 2 4 2 2 7" xfId="4807" xr:uid="{00000000-0005-0000-0000-0000E7180000}"/>
    <cellStyle name="Normal 5 2 4 2 2 7 2" xfId="21742" xr:uid="{7FC1A7B5-9FB1-4C1C-AB12-2CF006EEBB2B}"/>
    <cellStyle name="Normal 5 2 4 2 2 7 3" xfId="13301" xr:uid="{85DA8923-7132-4895-BB27-AF15A8BE39BB}"/>
    <cellStyle name="Normal 5 2 4 2 2 8" xfId="17524" xr:uid="{7BA36F3C-5E2F-4E03-BFA4-E151BA88EA3B}"/>
    <cellStyle name="Normal 5 2 4 2 2 9" xfId="9049" xr:uid="{BE8FEF86-E0B8-436A-A36C-A9CA9FF53D3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4299" xr:uid="{5EDA5C7E-91F3-463E-948D-B09D97AFF13C}"/>
    <cellStyle name="Normal 5 2 4 2 3 2 2 3" xfId="15858" xr:uid="{B52887FC-A015-438B-BAC3-578E0CE87065}"/>
    <cellStyle name="Normal 5 2 4 2 3 2 3" xfId="20081" xr:uid="{9BD06314-62B9-4F92-BB92-0B42A1931ACA}"/>
    <cellStyle name="Normal 5 2 4 2 3 2 4" xfId="11639" xr:uid="{EC997F19-1DDE-4FF3-B9F9-744596917BB1}"/>
    <cellStyle name="Normal 5 2 4 2 3 3" xfId="5219" xr:uid="{00000000-0005-0000-0000-0000EB180000}"/>
    <cellStyle name="Normal 5 2 4 2 3 3 2" xfId="22154" xr:uid="{D5859750-B13E-4442-985B-3F5A232ABA78}"/>
    <cellStyle name="Normal 5 2 4 2 3 3 3" xfId="13713" xr:uid="{77D52604-4CBE-4F51-972F-D8E75436005F}"/>
    <cellStyle name="Normal 5 2 4 2 3 4" xfId="17936" xr:uid="{477AAF5E-B731-4DC2-95E7-46E00E01811D}"/>
    <cellStyle name="Normal 5 2 4 2 3 5" xfId="9462" xr:uid="{4D57762A-2BBE-4C13-8764-5381A0ACC676}"/>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4712" xr:uid="{79169547-3FB2-4604-9A48-77AC097D484C}"/>
    <cellStyle name="Normal 5 2 4 2 4 2 2 3" xfId="16271" xr:uid="{65D962DB-CD96-4A27-A7F1-BA5E1992FBE4}"/>
    <cellStyle name="Normal 5 2 4 2 4 2 3" xfId="20494" xr:uid="{0E3F571C-E482-47F2-86F7-843F9126D58B}"/>
    <cellStyle name="Normal 5 2 4 2 4 2 4" xfId="12052" xr:uid="{1A91C9F5-B408-44E3-86B2-1F09474C89E9}"/>
    <cellStyle name="Normal 5 2 4 2 4 3" xfId="5632" xr:uid="{00000000-0005-0000-0000-0000EF180000}"/>
    <cellStyle name="Normal 5 2 4 2 4 3 2" xfId="22567" xr:uid="{7EB848BD-9AD1-4E44-930E-2D71245C10FE}"/>
    <cellStyle name="Normal 5 2 4 2 4 3 3" xfId="14126" xr:uid="{C857C93A-45E9-47D9-8960-8A0B893AE72F}"/>
    <cellStyle name="Normal 5 2 4 2 4 4" xfId="18349" xr:uid="{67F5DE2D-BBEE-4367-B3A4-15539E684324}"/>
    <cellStyle name="Normal 5 2 4 2 4 5" xfId="9875" xr:uid="{ADA51654-7FA0-47C7-B663-D3828FEF9ACC}"/>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125" xr:uid="{0C0B68DA-0B0D-4A08-A84B-0A76500F0492}"/>
    <cellStyle name="Normal 5 2 4 2 5 2 2 3" xfId="16684" xr:uid="{CE505754-4815-48AD-8AED-54838504AD14}"/>
    <cellStyle name="Normal 5 2 4 2 5 2 3" xfId="20907" xr:uid="{04AF5A5E-3611-49D3-ADC9-498908D8585E}"/>
    <cellStyle name="Normal 5 2 4 2 5 2 4" xfId="12465" xr:uid="{C8F5A577-8C6B-468C-BD94-257F274557C8}"/>
    <cellStyle name="Normal 5 2 4 2 5 3" xfId="6045" xr:uid="{00000000-0005-0000-0000-0000F3180000}"/>
    <cellStyle name="Normal 5 2 4 2 5 3 2" xfId="22980" xr:uid="{D6B8DEC5-CAF7-4EDB-97FC-7931AFE63EC8}"/>
    <cellStyle name="Normal 5 2 4 2 5 3 3" xfId="14539" xr:uid="{894B6DE2-0E3F-447C-B83F-815F607EE351}"/>
    <cellStyle name="Normal 5 2 4 2 5 4" xfId="18762" xr:uid="{0B39D5C8-A36D-4921-B47F-B1670594A1C1}"/>
    <cellStyle name="Normal 5 2 4 2 5 5" xfId="10288" xr:uid="{F9920878-E6BB-49A9-B4BA-27DC5C1F6462}"/>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5538" xr:uid="{2F89E633-9D2F-48B1-9C1C-AAEE70C7A56C}"/>
    <cellStyle name="Normal 5 2 4 2 6 2 2 3" xfId="17097" xr:uid="{550FC450-81EA-41CD-BD15-03E6BBB223EB}"/>
    <cellStyle name="Normal 5 2 4 2 6 2 3" xfId="21320" xr:uid="{38BC8A1D-5E95-4E92-9EE9-F42804138BA3}"/>
    <cellStyle name="Normal 5 2 4 2 6 2 4" xfId="12878" xr:uid="{C5CB36F4-9A9A-4D52-9792-ABD988439282}"/>
    <cellStyle name="Normal 5 2 4 2 6 3" xfId="6458" xr:uid="{00000000-0005-0000-0000-0000F7180000}"/>
    <cellStyle name="Normal 5 2 4 2 6 3 2" xfId="23393" xr:uid="{7B99FA76-9539-4843-B86F-F873ED5D2734}"/>
    <cellStyle name="Normal 5 2 4 2 6 3 3" xfId="14952" xr:uid="{4F5E6568-8657-4BE2-9EC4-E9203B1A26A2}"/>
    <cellStyle name="Normal 5 2 4 2 6 4" xfId="19175" xr:uid="{92EF44D2-8836-449C-B26B-89C7DD0FC6A8}"/>
    <cellStyle name="Normal 5 2 4 2 6 5" xfId="10701" xr:uid="{025E4936-12E3-4A7D-AF87-933088780A8B}"/>
    <cellStyle name="Normal 5 2 4 2 7" xfId="2588" xr:uid="{00000000-0005-0000-0000-0000F8180000}"/>
    <cellStyle name="Normal 5 2 4 2 7 2" xfId="6871" xr:uid="{00000000-0005-0000-0000-0000F9180000}"/>
    <cellStyle name="Normal 5 2 4 2 7 2 2" xfId="23806" xr:uid="{69384557-3D04-44D6-8A79-B90409F019E4}"/>
    <cellStyle name="Normal 5 2 4 2 7 2 3" xfId="15365" xr:uid="{E1A0D4DE-1993-49AF-A422-8370E273C94F}"/>
    <cellStyle name="Normal 5 2 4 2 7 3" xfId="19588" xr:uid="{C0F8328D-F70D-4DE3-B323-C15B5CA2F7DA}"/>
    <cellStyle name="Normal 5 2 4 2 7 4" xfId="11136" xr:uid="{7AF93E16-2E22-4EF2-90E4-121AAFDFEE1B}"/>
    <cellStyle name="Normal 5 2 4 2 8" xfId="4806" xr:uid="{00000000-0005-0000-0000-0000FA180000}"/>
    <cellStyle name="Normal 5 2 4 2 8 2" xfId="21741" xr:uid="{799FE82C-7D52-4FFD-8FB6-202630737C44}"/>
    <cellStyle name="Normal 5 2 4 2 8 3" xfId="13300" xr:uid="{F1991D17-66C5-40B7-8EFF-3F3FD5F42CC7}"/>
    <cellStyle name="Normal 5 2 4 2 9" xfId="17523" xr:uid="{67D26FEC-99F2-4100-9362-700EE0016653}"/>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4301" xr:uid="{A9C8BC25-CF3B-4953-95B4-62C079832C37}"/>
    <cellStyle name="Normal 5 2 4 3 2 2 2 3" xfId="15860" xr:uid="{D26AEB1B-E71C-4D36-872F-7BAFC22BD3F8}"/>
    <cellStyle name="Normal 5 2 4 3 2 2 3" xfId="20083" xr:uid="{D0166475-1CE6-4C45-AB9E-E096399529E6}"/>
    <cellStyle name="Normal 5 2 4 3 2 2 4" xfId="11641" xr:uid="{29F36DD2-3331-46BB-B5DF-B9D74FC0444D}"/>
    <cellStyle name="Normal 5 2 4 3 2 3" xfId="5221" xr:uid="{00000000-0005-0000-0000-0000FF180000}"/>
    <cellStyle name="Normal 5 2 4 3 2 3 2" xfId="22156" xr:uid="{74F19076-3671-4005-BB9B-1B0B90ADE43E}"/>
    <cellStyle name="Normal 5 2 4 3 2 3 3" xfId="13715" xr:uid="{4449C9CB-0562-4D11-B01E-03F4342B819D}"/>
    <cellStyle name="Normal 5 2 4 3 2 4" xfId="17938" xr:uid="{655ED868-2141-4463-8DBB-E2F5966767D4}"/>
    <cellStyle name="Normal 5 2 4 3 2 5" xfId="9464" xr:uid="{DD58D132-B7ED-4CC7-AE80-98354D129C9D}"/>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4714" xr:uid="{E4F5C270-325F-405C-BCBE-0A7234EAA751}"/>
    <cellStyle name="Normal 5 2 4 3 3 2 2 3" xfId="16273" xr:uid="{61AD0050-40C8-40EB-A8C1-16DE1255B7E6}"/>
    <cellStyle name="Normal 5 2 4 3 3 2 3" xfId="20496" xr:uid="{59478EA7-5FDB-42F5-B784-D596087731E9}"/>
    <cellStyle name="Normal 5 2 4 3 3 2 4" xfId="12054" xr:uid="{6C042301-F8A0-4825-9B73-A495CD711516}"/>
    <cellStyle name="Normal 5 2 4 3 3 3" xfId="5634" xr:uid="{00000000-0005-0000-0000-000003190000}"/>
    <cellStyle name="Normal 5 2 4 3 3 3 2" xfId="22569" xr:uid="{F0AC53F7-E496-4299-B9CC-E2D64B047027}"/>
    <cellStyle name="Normal 5 2 4 3 3 3 3" xfId="14128" xr:uid="{3A3489D4-4D03-4FFF-AC6E-40CD71C95B75}"/>
    <cellStyle name="Normal 5 2 4 3 3 4" xfId="18351" xr:uid="{4898CF82-9DFB-449D-AE47-6903F79808B5}"/>
    <cellStyle name="Normal 5 2 4 3 3 5" xfId="9877" xr:uid="{514118D0-D489-4621-9BF6-E01E63F84B24}"/>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127" xr:uid="{A87F5560-DE15-4778-AC62-D3FD942082FC}"/>
    <cellStyle name="Normal 5 2 4 3 4 2 2 3" xfId="16686" xr:uid="{9C15B2D9-CC5F-4C2A-9BF1-0E00533B551F}"/>
    <cellStyle name="Normal 5 2 4 3 4 2 3" xfId="20909" xr:uid="{C8622757-EA85-4274-B5E7-F4FD299B75A1}"/>
    <cellStyle name="Normal 5 2 4 3 4 2 4" xfId="12467" xr:uid="{6DB63F18-E3A8-4AE3-857F-7E908A0104E0}"/>
    <cellStyle name="Normal 5 2 4 3 4 3" xfId="6047" xr:uid="{00000000-0005-0000-0000-000007190000}"/>
    <cellStyle name="Normal 5 2 4 3 4 3 2" xfId="22982" xr:uid="{A2D18933-725D-4BC6-B6AA-C008ABFB6A3D}"/>
    <cellStyle name="Normal 5 2 4 3 4 3 3" xfId="14541" xr:uid="{EEAF535F-AD0C-4847-9AF6-7A76B83E9AA0}"/>
    <cellStyle name="Normal 5 2 4 3 4 4" xfId="18764" xr:uid="{65B4BDCF-EF9D-44B7-B65F-C0FE4EC1FB2C}"/>
    <cellStyle name="Normal 5 2 4 3 4 5" xfId="10290" xr:uid="{88DCFBF4-6186-4A56-8F98-5305A7D520DC}"/>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5540" xr:uid="{1949F1A0-7EB3-444A-A292-41F08AB19108}"/>
    <cellStyle name="Normal 5 2 4 3 5 2 2 3" xfId="17099" xr:uid="{9FE2AAF3-4AF9-4A0A-B31D-8D60F630792A}"/>
    <cellStyle name="Normal 5 2 4 3 5 2 3" xfId="21322" xr:uid="{DD2C2C1C-BE4D-4717-BF2C-2169C1D33BF7}"/>
    <cellStyle name="Normal 5 2 4 3 5 2 4" xfId="12880" xr:uid="{AA07BD4C-E6CB-48A4-A169-ED1DEEE6EFBA}"/>
    <cellStyle name="Normal 5 2 4 3 5 3" xfId="6460" xr:uid="{00000000-0005-0000-0000-00000B190000}"/>
    <cellStyle name="Normal 5 2 4 3 5 3 2" xfId="23395" xr:uid="{429D9691-E5AC-41DE-B85C-FE93C7A20E33}"/>
    <cellStyle name="Normal 5 2 4 3 5 3 3" xfId="14954" xr:uid="{62EB7BD4-3733-46A6-8AB9-F6C5A442F5FD}"/>
    <cellStyle name="Normal 5 2 4 3 5 4" xfId="19177" xr:uid="{2AC061B0-F18A-4A45-A791-FC1A611C7D31}"/>
    <cellStyle name="Normal 5 2 4 3 5 5" xfId="10703" xr:uid="{A8F950A7-E4B0-4658-AAA5-ED1C5F1B6EE3}"/>
    <cellStyle name="Normal 5 2 4 3 6" xfId="2590" xr:uid="{00000000-0005-0000-0000-00000C190000}"/>
    <cellStyle name="Normal 5 2 4 3 6 2" xfId="6873" xr:uid="{00000000-0005-0000-0000-00000D190000}"/>
    <cellStyle name="Normal 5 2 4 3 6 2 2" xfId="23808" xr:uid="{B145D806-CA1C-4DEE-8322-5D3E488C3191}"/>
    <cellStyle name="Normal 5 2 4 3 6 2 3" xfId="15367" xr:uid="{6AC9453B-5291-42E2-B369-F28A47C9E6D7}"/>
    <cellStyle name="Normal 5 2 4 3 6 3" xfId="19590" xr:uid="{B213B392-3E49-4D13-9107-3E5504C561FA}"/>
    <cellStyle name="Normal 5 2 4 3 6 4" xfId="11138" xr:uid="{8404AB51-A2D5-4739-B470-E19B3187AB1B}"/>
    <cellStyle name="Normal 5 2 4 3 7" xfId="4808" xr:uid="{00000000-0005-0000-0000-00000E190000}"/>
    <cellStyle name="Normal 5 2 4 3 7 2" xfId="21743" xr:uid="{B5CA5278-017B-4BE2-8EEA-716EA5D5BD41}"/>
    <cellStyle name="Normal 5 2 4 3 7 3" xfId="13302" xr:uid="{08530F54-EBC7-4E77-AA4B-BB8D50D44FCD}"/>
    <cellStyle name="Normal 5 2 4 3 8" xfId="17525" xr:uid="{0875FDD3-16A7-4CD1-8821-634290FA74F2}"/>
    <cellStyle name="Normal 5 2 4 3 9" xfId="9050" xr:uid="{A4EE3895-77A2-41B1-BDB8-4037F400AA77}"/>
    <cellStyle name="Normal 5 2 4 4" xfId="906" xr:uid="{00000000-0005-0000-0000-00000F190000}"/>
    <cellStyle name="Normal 5 2 4 4 2" xfId="3141" xr:uid="{00000000-0005-0000-0000-000010190000}"/>
    <cellStyle name="Normal 5 2 4 4 2 2" xfId="7363" xr:uid="{00000000-0005-0000-0000-000011190000}"/>
    <cellStyle name="Normal 5 2 4 4 2 2 2" xfId="24298" xr:uid="{0661CA7C-86DE-4230-844A-D0BF5CA2F93E}"/>
    <cellStyle name="Normal 5 2 4 4 2 2 3" xfId="15857" xr:uid="{150CE344-EE93-49CD-81DD-D203891A5AC4}"/>
    <cellStyle name="Normal 5 2 4 4 2 3" xfId="20080" xr:uid="{F0D611AF-CCC3-4AF7-967D-2B9F179C93FE}"/>
    <cellStyle name="Normal 5 2 4 4 2 4" xfId="11638" xr:uid="{6EC8A027-4EA5-4606-B5AD-5094A3C9CC57}"/>
    <cellStyle name="Normal 5 2 4 4 3" xfId="5218" xr:uid="{00000000-0005-0000-0000-000012190000}"/>
    <cellStyle name="Normal 5 2 4 4 3 2" xfId="22153" xr:uid="{B5608C83-1B82-41D1-9AE8-9650B558B3C4}"/>
    <cellStyle name="Normal 5 2 4 4 3 3" xfId="13712" xr:uid="{46B76077-4F25-4F77-8222-C8107C0C8F72}"/>
    <cellStyle name="Normal 5 2 4 4 4" xfId="17935" xr:uid="{C82D0CB4-14B0-461D-8121-E593F877110F}"/>
    <cellStyle name="Normal 5 2 4 4 5" xfId="9461" xr:uid="{EFAB7EC5-9DFD-4AD3-8FEC-6ABE5EE32BB9}"/>
    <cellStyle name="Normal 5 2 4 5" xfId="1324" xr:uid="{00000000-0005-0000-0000-000013190000}"/>
    <cellStyle name="Normal 5 2 4 5 2" xfId="3554" xr:uid="{00000000-0005-0000-0000-000014190000}"/>
    <cellStyle name="Normal 5 2 4 5 2 2" xfId="7776" xr:uid="{00000000-0005-0000-0000-000015190000}"/>
    <cellStyle name="Normal 5 2 4 5 2 2 2" xfId="24711" xr:uid="{1E94CB73-B7D4-4D16-B164-BA639C88E804}"/>
    <cellStyle name="Normal 5 2 4 5 2 2 3" xfId="16270" xr:uid="{1DF982AA-29A6-4475-A3A6-F8267558161A}"/>
    <cellStyle name="Normal 5 2 4 5 2 3" xfId="20493" xr:uid="{FF82EB3C-ACF9-4E33-B281-05BFE0FC5D2F}"/>
    <cellStyle name="Normal 5 2 4 5 2 4" xfId="12051" xr:uid="{2AECA15D-A4C2-4C99-91F6-47090757434E}"/>
    <cellStyle name="Normal 5 2 4 5 3" xfId="5631" xr:uid="{00000000-0005-0000-0000-000016190000}"/>
    <cellStyle name="Normal 5 2 4 5 3 2" xfId="22566" xr:uid="{33A34EED-19DF-40FE-A53C-C89712FC945C}"/>
    <cellStyle name="Normal 5 2 4 5 3 3" xfId="14125" xr:uid="{58D42062-3DE2-4B76-9248-DEB6AF55BAC1}"/>
    <cellStyle name="Normal 5 2 4 5 4" xfId="18348" xr:uid="{1816F60D-9F92-4C8E-8E96-42F1EBD49398}"/>
    <cellStyle name="Normal 5 2 4 5 5" xfId="9874" xr:uid="{F90E49EA-C82E-4573-9ABB-3A5A5092071D}"/>
    <cellStyle name="Normal 5 2 4 6" xfId="1737" xr:uid="{00000000-0005-0000-0000-000017190000}"/>
    <cellStyle name="Normal 5 2 4 6 2" xfId="3967" xr:uid="{00000000-0005-0000-0000-000018190000}"/>
    <cellStyle name="Normal 5 2 4 6 2 2" xfId="8189" xr:uid="{00000000-0005-0000-0000-000019190000}"/>
    <cellStyle name="Normal 5 2 4 6 2 2 2" xfId="25124" xr:uid="{F5DD6122-FF9D-4AC9-A37C-A93E0DF2DE49}"/>
    <cellStyle name="Normal 5 2 4 6 2 2 3" xfId="16683" xr:uid="{DDA8A9B9-47F8-4A26-9CA2-2DF8743CC597}"/>
    <cellStyle name="Normal 5 2 4 6 2 3" xfId="20906" xr:uid="{6910E303-2626-4A7F-BFB7-B36A9E536599}"/>
    <cellStyle name="Normal 5 2 4 6 2 4" xfId="12464" xr:uid="{7CC48E0E-FB45-45E3-BAD1-D871C9249E1F}"/>
    <cellStyle name="Normal 5 2 4 6 3" xfId="6044" xr:uid="{00000000-0005-0000-0000-00001A190000}"/>
    <cellStyle name="Normal 5 2 4 6 3 2" xfId="22979" xr:uid="{17FEDAFD-72A6-444B-87DE-2958ABC6F9F4}"/>
    <cellStyle name="Normal 5 2 4 6 3 3" xfId="14538" xr:uid="{DDEAEE27-D58C-4668-A6B5-C9BE774E2C18}"/>
    <cellStyle name="Normal 5 2 4 6 4" xfId="18761" xr:uid="{6EF084BA-182F-4606-822E-DCCA0EF9D3A6}"/>
    <cellStyle name="Normal 5 2 4 6 5" xfId="10287" xr:uid="{EFAD7FDB-2333-49E0-B661-73FFB36BBDDB}"/>
    <cellStyle name="Normal 5 2 4 7" xfId="2151" xr:uid="{00000000-0005-0000-0000-00001B190000}"/>
    <cellStyle name="Normal 5 2 4 7 2" xfId="4380" xr:uid="{00000000-0005-0000-0000-00001C190000}"/>
    <cellStyle name="Normal 5 2 4 7 2 2" xfId="8602" xr:uid="{00000000-0005-0000-0000-00001D190000}"/>
    <cellStyle name="Normal 5 2 4 7 2 2 2" xfId="25537" xr:uid="{FE35CA8F-547F-4DAD-9297-BA2761C9F955}"/>
    <cellStyle name="Normal 5 2 4 7 2 2 3" xfId="17096" xr:uid="{48D29F00-C99B-4DAC-A62A-13CF6A725C5C}"/>
    <cellStyle name="Normal 5 2 4 7 2 3" xfId="21319" xr:uid="{B5E3581B-EBB9-4D8E-A7BA-87F49AD85231}"/>
    <cellStyle name="Normal 5 2 4 7 2 4" xfId="12877" xr:uid="{A2511754-14A4-4BCF-9AE0-32760EE4225B}"/>
    <cellStyle name="Normal 5 2 4 7 3" xfId="6457" xr:uid="{00000000-0005-0000-0000-00001E190000}"/>
    <cellStyle name="Normal 5 2 4 7 3 2" xfId="23392" xr:uid="{C8914EE9-B01E-4A52-A6BF-DE28AB65773D}"/>
    <cellStyle name="Normal 5 2 4 7 3 3" xfId="14951" xr:uid="{9BA609FD-F374-47EF-ACCD-ED8492E23B74}"/>
    <cellStyle name="Normal 5 2 4 7 4" xfId="19174" xr:uid="{3E961969-E1D7-4931-B387-C149550AAFE4}"/>
    <cellStyle name="Normal 5 2 4 7 5" xfId="10700" xr:uid="{861A37EE-08C2-4074-AFA6-0FD7C085983E}"/>
    <cellStyle name="Normal 5 2 4 8" xfId="2587" xr:uid="{00000000-0005-0000-0000-00001F190000}"/>
    <cellStyle name="Normal 5 2 4 8 2" xfId="6870" xr:uid="{00000000-0005-0000-0000-000020190000}"/>
    <cellStyle name="Normal 5 2 4 8 2 2" xfId="23805" xr:uid="{0C3C55D2-011B-4A33-9952-E4C136CBBD20}"/>
    <cellStyle name="Normal 5 2 4 8 2 3" xfId="15364" xr:uid="{2708117F-A744-4165-AD64-463563015E77}"/>
    <cellStyle name="Normal 5 2 4 8 3" xfId="19587" xr:uid="{A634959D-4EBB-4A1A-BA28-DA591BE3AD9A}"/>
    <cellStyle name="Normal 5 2 4 8 4" xfId="11135" xr:uid="{EA944782-03B5-47F4-A1ED-E8961E9430F3}"/>
    <cellStyle name="Normal 5 2 4 9" xfId="4805" xr:uid="{00000000-0005-0000-0000-000021190000}"/>
    <cellStyle name="Normal 5 2 4 9 2" xfId="21740" xr:uid="{C9D2FF74-4B6B-4E68-BDC4-FC2075FA54E9}"/>
    <cellStyle name="Normal 5 2 4 9 3" xfId="13299" xr:uid="{B11A3FE4-073B-4176-B610-07590C3E1986}"/>
    <cellStyle name="Normal 5 2 5" xfId="436" xr:uid="{00000000-0005-0000-0000-000022190000}"/>
    <cellStyle name="Normal 5 2 5 10" xfId="9051" xr:uid="{6080A0F4-1B61-444C-941C-C18D46C61084}"/>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4303" xr:uid="{6B6D20AB-2572-4BAD-BEA8-0379C9DEFD37}"/>
    <cellStyle name="Normal 5 2 5 2 2 2 2 3" xfId="15862" xr:uid="{EE0892F9-628C-4A1F-88BF-CAB997B8772C}"/>
    <cellStyle name="Normal 5 2 5 2 2 2 3" xfId="20085" xr:uid="{5C5AF9E1-035C-4890-ABBC-5B309F001A1C}"/>
    <cellStyle name="Normal 5 2 5 2 2 2 4" xfId="11643" xr:uid="{5C747118-E8E1-46B3-9686-340554574F56}"/>
    <cellStyle name="Normal 5 2 5 2 2 3" xfId="5223" xr:uid="{00000000-0005-0000-0000-000027190000}"/>
    <cellStyle name="Normal 5 2 5 2 2 3 2" xfId="22158" xr:uid="{AD854854-58DB-49C0-B5DC-2551F3F60E56}"/>
    <cellStyle name="Normal 5 2 5 2 2 3 3" xfId="13717" xr:uid="{91F3CC35-C56A-492A-9374-602AF84EE47A}"/>
    <cellStyle name="Normal 5 2 5 2 2 4" xfId="17940" xr:uid="{1BB7D98A-F752-463E-98C2-81F3BCA36DBE}"/>
    <cellStyle name="Normal 5 2 5 2 2 5" xfId="9466" xr:uid="{552F315E-E49F-4A1A-BDDF-A968ED092C72}"/>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4716" xr:uid="{5FCEF598-A6E7-48E2-9C19-1B2FC9DB1A0E}"/>
    <cellStyle name="Normal 5 2 5 2 3 2 2 3" xfId="16275" xr:uid="{43F7133D-81E6-4728-A9DE-BD9524FA933F}"/>
    <cellStyle name="Normal 5 2 5 2 3 2 3" xfId="20498" xr:uid="{7D7BAE48-3ACC-44E8-90AD-756A56EF9495}"/>
    <cellStyle name="Normal 5 2 5 2 3 2 4" xfId="12056" xr:uid="{9230442A-94BB-4F3C-9E74-A08100C1FFE8}"/>
    <cellStyle name="Normal 5 2 5 2 3 3" xfId="5636" xr:uid="{00000000-0005-0000-0000-00002B190000}"/>
    <cellStyle name="Normal 5 2 5 2 3 3 2" xfId="22571" xr:uid="{D5314C2A-8E2A-477E-B329-3BB01DFFA7C5}"/>
    <cellStyle name="Normal 5 2 5 2 3 3 3" xfId="14130" xr:uid="{71337092-6278-4531-8E2D-95EEDEFD239D}"/>
    <cellStyle name="Normal 5 2 5 2 3 4" xfId="18353" xr:uid="{0E0E51B8-955C-4E5B-BDC2-7645A90EB70B}"/>
    <cellStyle name="Normal 5 2 5 2 3 5" xfId="9879" xr:uid="{36E4E64D-08D2-4548-A9D3-DB241EC28EA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129" xr:uid="{910999AF-EAE2-44A7-A0C2-F597B54518DD}"/>
    <cellStyle name="Normal 5 2 5 2 4 2 2 3" xfId="16688" xr:uid="{E410CCAA-CB45-4E88-A52E-78405D50B7F5}"/>
    <cellStyle name="Normal 5 2 5 2 4 2 3" xfId="20911" xr:uid="{0B0192CE-2C44-491A-A170-357B759F7FC7}"/>
    <cellStyle name="Normal 5 2 5 2 4 2 4" xfId="12469" xr:uid="{E3301011-9297-4FDD-A0EE-05CDC4863F68}"/>
    <cellStyle name="Normal 5 2 5 2 4 3" xfId="6049" xr:uid="{00000000-0005-0000-0000-00002F190000}"/>
    <cellStyle name="Normal 5 2 5 2 4 3 2" xfId="22984" xr:uid="{9CC8226F-95F5-402E-820A-A9F620C8D2E0}"/>
    <cellStyle name="Normal 5 2 5 2 4 3 3" xfId="14543" xr:uid="{31E12B2C-43B3-47C3-AEA5-A427F92A4A79}"/>
    <cellStyle name="Normal 5 2 5 2 4 4" xfId="18766" xr:uid="{383F797F-336A-4E94-8404-D5C00C38D6B0}"/>
    <cellStyle name="Normal 5 2 5 2 4 5" xfId="10292" xr:uid="{E56B2594-8B7C-495F-805D-669089953293}"/>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5542" xr:uid="{96A9A90F-8444-4A97-B68A-DFF95BA1AEC8}"/>
    <cellStyle name="Normal 5 2 5 2 5 2 2 3" xfId="17101" xr:uid="{BAFE3A4E-997B-4609-BCB9-623AFE36A42B}"/>
    <cellStyle name="Normal 5 2 5 2 5 2 3" xfId="21324" xr:uid="{4143884E-9711-4131-9D98-AD38EF6964D8}"/>
    <cellStyle name="Normal 5 2 5 2 5 2 4" xfId="12882" xr:uid="{9390CA1D-3FCF-4DDF-8BF3-C34FAB3ACCEF}"/>
    <cellStyle name="Normal 5 2 5 2 5 3" xfId="6462" xr:uid="{00000000-0005-0000-0000-000033190000}"/>
    <cellStyle name="Normal 5 2 5 2 5 3 2" xfId="23397" xr:uid="{521A5EEB-F777-4838-AC7C-01386DACC33B}"/>
    <cellStyle name="Normal 5 2 5 2 5 3 3" xfId="14956" xr:uid="{EDA40C21-ECD4-44E9-A814-D7F4652953AA}"/>
    <cellStyle name="Normal 5 2 5 2 5 4" xfId="19179" xr:uid="{E0468253-6A33-4DE9-9221-6F672E2D50E9}"/>
    <cellStyle name="Normal 5 2 5 2 5 5" xfId="10705" xr:uid="{759CD9C9-06AB-44E7-BB52-15D9B2C4A98F}"/>
    <cellStyle name="Normal 5 2 5 2 6" xfId="2592" xr:uid="{00000000-0005-0000-0000-000034190000}"/>
    <cellStyle name="Normal 5 2 5 2 6 2" xfId="6875" xr:uid="{00000000-0005-0000-0000-000035190000}"/>
    <cellStyle name="Normal 5 2 5 2 6 2 2" xfId="23810" xr:uid="{8F7A8767-FA87-403D-AB53-2B364771763D}"/>
    <cellStyle name="Normal 5 2 5 2 6 2 3" xfId="15369" xr:uid="{BEC7B1EC-B756-4BDD-8277-26030C8DABAA}"/>
    <cellStyle name="Normal 5 2 5 2 6 3" xfId="19592" xr:uid="{34325FB8-FF06-403F-AF13-EDC40551A9AC}"/>
    <cellStyle name="Normal 5 2 5 2 6 4" xfId="11140" xr:uid="{9431A561-22BD-4105-80E3-C2960B9909DC}"/>
    <cellStyle name="Normal 5 2 5 2 7" xfId="4810" xr:uid="{00000000-0005-0000-0000-000036190000}"/>
    <cellStyle name="Normal 5 2 5 2 7 2" xfId="21745" xr:uid="{35C04301-D88F-4411-B732-16AB35DD9F76}"/>
    <cellStyle name="Normal 5 2 5 2 7 3" xfId="13304" xr:uid="{30CA428D-341B-4B74-A3A6-2793A3AFAD1A}"/>
    <cellStyle name="Normal 5 2 5 2 8" xfId="17527" xr:uid="{1FF301FE-8D99-4BEA-AFAF-7F16DA0870B4}"/>
    <cellStyle name="Normal 5 2 5 2 9" xfId="9052" xr:uid="{EFABCD88-ADFA-4EF5-97F1-10D733FF751A}"/>
    <cellStyle name="Normal 5 2 5 3" xfId="910" xr:uid="{00000000-0005-0000-0000-000037190000}"/>
    <cellStyle name="Normal 5 2 5 3 2" xfId="3145" xr:uid="{00000000-0005-0000-0000-000038190000}"/>
    <cellStyle name="Normal 5 2 5 3 2 2" xfId="7367" xr:uid="{00000000-0005-0000-0000-000039190000}"/>
    <cellStyle name="Normal 5 2 5 3 2 2 2" xfId="24302" xr:uid="{4AB5273C-8186-4319-8C6E-8A872E0A262E}"/>
    <cellStyle name="Normal 5 2 5 3 2 2 3" xfId="15861" xr:uid="{584B0D73-4DCF-4D39-9DAC-D6A380134050}"/>
    <cellStyle name="Normal 5 2 5 3 2 3" xfId="20084" xr:uid="{A5099B6E-42B4-458E-9B76-74C1946666A2}"/>
    <cellStyle name="Normal 5 2 5 3 2 4" xfId="11642" xr:uid="{A6B833C0-C75D-4437-B0DC-F92D1CBE9FBD}"/>
    <cellStyle name="Normal 5 2 5 3 3" xfId="5222" xr:uid="{00000000-0005-0000-0000-00003A190000}"/>
    <cellStyle name="Normal 5 2 5 3 3 2" xfId="22157" xr:uid="{1D8F860C-4A48-4A40-A7F6-8A51624A6983}"/>
    <cellStyle name="Normal 5 2 5 3 3 3" xfId="13716" xr:uid="{C334DB90-0179-4A29-BF42-83AC2A4D0F7B}"/>
    <cellStyle name="Normal 5 2 5 3 4" xfId="17939" xr:uid="{8DCBD1B4-CC94-4F7F-85E8-B3A41E00E6DF}"/>
    <cellStyle name="Normal 5 2 5 3 5" xfId="9465" xr:uid="{1D04F6E4-87B4-47CB-9219-B21A8D12055A}"/>
    <cellStyle name="Normal 5 2 5 4" xfId="1328" xr:uid="{00000000-0005-0000-0000-00003B190000}"/>
    <cellStyle name="Normal 5 2 5 4 2" xfId="3558" xr:uid="{00000000-0005-0000-0000-00003C190000}"/>
    <cellStyle name="Normal 5 2 5 4 2 2" xfId="7780" xr:uid="{00000000-0005-0000-0000-00003D190000}"/>
    <cellStyle name="Normal 5 2 5 4 2 2 2" xfId="24715" xr:uid="{D25D819B-07F9-4B09-9F13-C9F7359E174B}"/>
    <cellStyle name="Normal 5 2 5 4 2 2 3" xfId="16274" xr:uid="{13D15217-FAF5-4DC0-983D-9D867079556D}"/>
    <cellStyle name="Normal 5 2 5 4 2 3" xfId="20497" xr:uid="{7E059854-3DF7-4064-8F95-0675E3DECDD3}"/>
    <cellStyle name="Normal 5 2 5 4 2 4" xfId="12055" xr:uid="{7F9AE32C-EFA5-4B4F-92E8-A2152C220846}"/>
    <cellStyle name="Normal 5 2 5 4 3" xfId="5635" xr:uid="{00000000-0005-0000-0000-00003E190000}"/>
    <cellStyle name="Normal 5 2 5 4 3 2" xfId="22570" xr:uid="{98052AFF-36BE-4967-92F1-A88D8F1704F5}"/>
    <cellStyle name="Normal 5 2 5 4 3 3" xfId="14129" xr:uid="{D320006E-7DC9-4BC5-9C08-9E5E14367BF5}"/>
    <cellStyle name="Normal 5 2 5 4 4" xfId="18352" xr:uid="{CE992E72-AE5D-451E-ACB5-14F97D1F1201}"/>
    <cellStyle name="Normal 5 2 5 4 5" xfId="9878" xr:uid="{05C6ABF9-5FD3-4838-96EF-4508FD988FF8}"/>
    <cellStyle name="Normal 5 2 5 5" xfId="1741" xr:uid="{00000000-0005-0000-0000-00003F190000}"/>
    <cellStyle name="Normal 5 2 5 5 2" xfId="3971" xr:uid="{00000000-0005-0000-0000-000040190000}"/>
    <cellStyle name="Normal 5 2 5 5 2 2" xfId="8193" xr:uid="{00000000-0005-0000-0000-000041190000}"/>
    <cellStyle name="Normal 5 2 5 5 2 2 2" xfId="25128" xr:uid="{0DD7508D-B550-475D-B047-5D65B3CC2EC8}"/>
    <cellStyle name="Normal 5 2 5 5 2 2 3" xfId="16687" xr:uid="{975365D7-D78A-405F-ACB9-CAB82FD0AE56}"/>
    <cellStyle name="Normal 5 2 5 5 2 3" xfId="20910" xr:uid="{5E276D49-AD8E-4932-AB02-2E252BE3A099}"/>
    <cellStyle name="Normal 5 2 5 5 2 4" xfId="12468" xr:uid="{C3FDEF68-0C9A-4996-B210-F8E4A7070AE8}"/>
    <cellStyle name="Normal 5 2 5 5 3" xfId="6048" xr:uid="{00000000-0005-0000-0000-000042190000}"/>
    <cellStyle name="Normal 5 2 5 5 3 2" xfId="22983" xr:uid="{66A74490-22CE-49C9-9086-8F1D70051E1B}"/>
    <cellStyle name="Normal 5 2 5 5 3 3" xfId="14542" xr:uid="{93221E40-4751-44CC-9F25-F93868265BB6}"/>
    <cellStyle name="Normal 5 2 5 5 4" xfId="18765" xr:uid="{1C1125E8-A9B3-4601-AD33-64619AD35FEC}"/>
    <cellStyle name="Normal 5 2 5 5 5" xfId="10291" xr:uid="{D5D46B8B-5EBA-4983-8EDA-D2CACBEE555F}"/>
    <cellStyle name="Normal 5 2 5 6" xfId="2155" xr:uid="{00000000-0005-0000-0000-000043190000}"/>
    <cellStyle name="Normal 5 2 5 6 2" xfId="4384" xr:uid="{00000000-0005-0000-0000-000044190000}"/>
    <cellStyle name="Normal 5 2 5 6 2 2" xfId="8606" xr:uid="{00000000-0005-0000-0000-000045190000}"/>
    <cellStyle name="Normal 5 2 5 6 2 2 2" xfId="25541" xr:uid="{A4F0379C-294C-408D-BDFF-88271B4DD619}"/>
    <cellStyle name="Normal 5 2 5 6 2 2 3" xfId="17100" xr:uid="{71C069DC-1C8C-497D-89A1-D7FB87ED2BC4}"/>
    <cellStyle name="Normal 5 2 5 6 2 3" xfId="21323" xr:uid="{2FFC85F5-0935-4E07-AC58-EBF58A9A4405}"/>
    <cellStyle name="Normal 5 2 5 6 2 4" xfId="12881" xr:uid="{8C3BA85F-DBE7-49FD-8939-B16CB710C819}"/>
    <cellStyle name="Normal 5 2 5 6 3" xfId="6461" xr:uid="{00000000-0005-0000-0000-000046190000}"/>
    <cellStyle name="Normal 5 2 5 6 3 2" xfId="23396" xr:uid="{04017BFD-4BE1-4881-9785-22B105E2787A}"/>
    <cellStyle name="Normal 5 2 5 6 3 3" xfId="14955" xr:uid="{5B387C6A-434D-41BB-B888-8D49FC5BCE27}"/>
    <cellStyle name="Normal 5 2 5 6 4" xfId="19178" xr:uid="{802F7C22-47D9-423B-B41F-BE523FDDFB19}"/>
    <cellStyle name="Normal 5 2 5 6 5" xfId="10704" xr:uid="{563FD9AA-DF36-47F1-9C13-FCCFF6A4A65B}"/>
    <cellStyle name="Normal 5 2 5 7" xfId="2591" xr:uid="{00000000-0005-0000-0000-000047190000}"/>
    <cellStyle name="Normal 5 2 5 7 2" xfId="6874" xr:uid="{00000000-0005-0000-0000-000048190000}"/>
    <cellStyle name="Normal 5 2 5 7 2 2" xfId="23809" xr:uid="{90FC4F72-186F-4520-9268-E79B6D17C71F}"/>
    <cellStyle name="Normal 5 2 5 7 2 3" xfId="15368" xr:uid="{922DDBDF-78AF-4D64-84A5-0DA692BD8071}"/>
    <cellStyle name="Normal 5 2 5 7 3" xfId="19591" xr:uid="{9CA9B4AC-5208-4B07-A43C-6BE51863A689}"/>
    <cellStyle name="Normal 5 2 5 7 4" xfId="11139" xr:uid="{6E959AED-44F4-46A6-AE8D-06E1FC123883}"/>
    <cellStyle name="Normal 5 2 5 8" xfId="4809" xr:uid="{00000000-0005-0000-0000-000049190000}"/>
    <cellStyle name="Normal 5 2 5 8 2" xfId="21744" xr:uid="{B3921895-4581-4325-B2DA-BB6A8712878C}"/>
    <cellStyle name="Normal 5 2 5 8 3" xfId="13303" xr:uid="{599A67A0-42BC-4F9D-9570-C92A8A05EE52}"/>
    <cellStyle name="Normal 5 2 5 9" xfId="17526" xr:uid="{5A7F0BBC-722B-4C0C-8D5E-B9C61BD1C502}"/>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4304" xr:uid="{3A84098D-26E6-4DDD-B54B-707D53E9B2AB}"/>
    <cellStyle name="Normal 5 2 6 2 2 2 3" xfId="15863" xr:uid="{08365758-2EFD-4062-B00C-66220D322D36}"/>
    <cellStyle name="Normal 5 2 6 2 2 3" xfId="20086" xr:uid="{14D5C8D7-69D5-4B9E-B65B-B6300B7CB37A}"/>
    <cellStyle name="Normal 5 2 6 2 2 4" xfId="11644" xr:uid="{27480820-6CE8-428F-8195-14121DB7A329}"/>
    <cellStyle name="Normal 5 2 6 2 3" xfId="5224" xr:uid="{00000000-0005-0000-0000-00004E190000}"/>
    <cellStyle name="Normal 5 2 6 2 3 2" xfId="22159" xr:uid="{835D3101-6227-4AD6-9FDC-3F85A759E2DA}"/>
    <cellStyle name="Normal 5 2 6 2 3 3" xfId="13718" xr:uid="{C46E63A9-F43A-4856-99F1-A708CA7349D5}"/>
    <cellStyle name="Normal 5 2 6 2 4" xfId="17941" xr:uid="{5DE08DD6-423A-45AB-8AD3-0B1FF9C1EC40}"/>
    <cellStyle name="Normal 5 2 6 2 5" xfId="9467" xr:uid="{53DBEF54-F356-4900-9748-A5D5B7F72B2F}"/>
    <cellStyle name="Normal 5 2 6 3" xfId="1330" xr:uid="{00000000-0005-0000-0000-00004F190000}"/>
    <cellStyle name="Normal 5 2 6 3 2" xfId="3560" xr:uid="{00000000-0005-0000-0000-000050190000}"/>
    <cellStyle name="Normal 5 2 6 3 2 2" xfId="7782" xr:uid="{00000000-0005-0000-0000-000051190000}"/>
    <cellStyle name="Normal 5 2 6 3 2 2 2" xfId="24717" xr:uid="{493E37A5-BEFF-47F7-94D2-4DE982CD31D2}"/>
    <cellStyle name="Normal 5 2 6 3 2 2 3" xfId="16276" xr:uid="{FE002022-B5ED-4F49-B2FB-EC30584DE772}"/>
    <cellStyle name="Normal 5 2 6 3 2 3" xfId="20499" xr:uid="{2EF934F2-52A6-412F-8B06-3B5F3F0653E7}"/>
    <cellStyle name="Normal 5 2 6 3 2 4" xfId="12057" xr:uid="{D722A0D8-79A1-42D7-B9C5-2E0EFF9B5A21}"/>
    <cellStyle name="Normal 5 2 6 3 3" xfId="5637" xr:uid="{00000000-0005-0000-0000-000052190000}"/>
    <cellStyle name="Normal 5 2 6 3 3 2" xfId="22572" xr:uid="{C32CDC78-DA18-4BA5-A72A-82D62B1CB625}"/>
    <cellStyle name="Normal 5 2 6 3 3 3" xfId="14131" xr:uid="{2653D8C8-E72B-46F6-946E-46B5215E4E15}"/>
    <cellStyle name="Normal 5 2 6 3 4" xfId="18354" xr:uid="{A0ACEBEE-8667-424A-AF73-D2584A4598E2}"/>
    <cellStyle name="Normal 5 2 6 3 5" xfId="9880" xr:uid="{A2D84EB8-FD0B-4641-9B54-D8A813C2BBF6}"/>
    <cellStyle name="Normal 5 2 6 4" xfId="1743" xr:uid="{00000000-0005-0000-0000-000053190000}"/>
    <cellStyle name="Normal 5 2 6 4 2" xfId="3973" xr:uid="{00000000-0005-0000-0000-000054190000}"/>
    <cellStyle name="Normal 5 2 6 4 2 2" xfId="8195" xr:uid="{00000000-0005-0000-0000-000055190000}"/>
    <cellStyle name="Normal 5 2 6 4 2 2 2" xfId="25130" xr:uid="{DB58B6C9-C63D-4BED-A041-C998CFB42818}"/>
    <cellStyle name="Normal 5 2 6 4 2 2 3" xfId="16689" xr:uid="{61E39E83-3F31-4305-BDC1-92198441925F}"/>
    <cellStyle name="Normal 5 2 6 4 2 3" xfId="20912" xr:uid="{65B565BB-58F2-4693-9355-639A63D80771}"/>
    <cellStyle name="Normal 5 2 6 4 2 4" xfId="12470" xr:uid="{9DA3B282-BE9D-4B15-A879-435EFFEA7738}"/>
    <cellStyle name="Normal 5 2 6 4 3" xfId="6050" xr:uid="{00000000-0005-0000-0000-000056190000}"/>
    <cellStyle name="Normal 5 2 6 4 3 2" xfId="22985" xr:uid="{AE47A27F-5B8E-45CB-9630-DA51D864C0DA}"/>
    <cellStyle name="Normal 5 2 6 4 3 3" xfId="14544" xr:uid="{5E052684-14A3-4AC1-AD7F-4A39C5B21293}"/>
    <cellStyle name="Normal 5 2 6 4 4" xfId="18767" xr:uid="{4EDD33FC-A771-42D0-8932-78E0EF86CAB2}"/>
    <cellStyle name="Normal 5 2 6 4 5" xfId="10293" xr:uid="{B0563E05-8532-4F54-AFFA-FAF58AE1D755}"/>
    <cellStyle name="Normal 5 2 6 5" xfId="2157" xr:uid="{00000000-0005-0000-0000-000057190000}"/>
    <cellStyle name="Normal 5 2 6 5 2" xfId="4386" xr:uid="{00000000-0005-0000-0000-000058190000}"/>
    <cellStyle name="Normal 5 2 6 5 2 2" xfId="8608" xr:uid="{00000000-0005-0000-0000-000059190000}"/>
    <cellStyle name="Normal 5 2 6 5 2 2 2" xfId="25543" xr:uid="{2555AFDF-41EA-4451-ACAB-E435AC2DD044}"/>
    <cellStyle name="Normal 5 2 6 5 2 2 3" xfId="17102" xr:uid="{D47B8C07-D12A-4726-BBB2-52B27F2DC064}"/>
    <cellStyle name="Normal 5 2 6 5 2 3" xfId="21325" xr:uid="{4930B6A5-B58E-431A-81A8-D03AC7BC0A66}"/>
    <cellStyle name="Normal 5 2 6 5 2 4" xfId="12883" xr:uid="{9601995D-5A29-4EB2-BA2D-DAD35D304414}"/>
    <cellStyle name="Normal 5 2 6 5 3" xfId="6463" xr:uid="{00000000-0005-0000-0000-00005A190000}"/>
    <cellStyle name="Normal 5 2 6 5 3 2" xfId="23398" xr:uid="{17583782-76F2-4DBF-AAE1-6CF800286C8B}"/>
    <cellStyle name="Normal 5 2 6 5 3 3" xfId="14957" xr:uid="{D97F2162-F195-42E0-A355-C5BB92D1EFE6}"/>
    <cellStyle name="Normal 5 2 6 5 4" xfId="19180" xr:uid="{5F7A72A1-2562-4F26-993A-7C3DBF4BA91C}"/>
    <cellStyle name="Normal 5 2 6 5 5" xfId="10706" xr:uid="{33104580-260B-4758-8613-ED762B57A65E}"/>
    <cellStyle name="Normal 5 2 6 6" xfId="2593" xr:uid="{00000000-0005-0000-0000-00005B190000}"/>
    <cellStyle name="Normal 5 2 6 6 2" xfId="6876" xr:uid="{00000000-0005-0000-0000-00005C190000}"/>
    <cellStyle name="Normal 5 2 6 6 2 2" xfId="23811" xr:uid="{01B3E692-C947-4D89-A3F9-626E74E2F53A}"/>
    <cellStyle name="Normal 5 2 6 6 2 3" xfId="15370" xr:uid="{D31D6BC5-9F38-42F9-B997-5C6E422CBB45}"/>
    <cellStyle name="Normal 5 2 6 6 3" xfId="19593" xr:uid="{DB8B9548-4DA9-4B87-A0D6-0761CDD4A22B}"/>
    <cellStyle name="Normal 5 2 6 6 4" xfId="11141" xr:uid="{A61F944B-1721-4C03-9512-B10FDA773C10}"/>
    <cellStyle name="Normal 5 2 6 7" xfId="4811" xr:uid="{00000000-0005-0000-0000-00005D190000}"/>
    <cellStyle name="Normal 5 2 6 7 2" xfId="21746" xr:uid="{845C1DA9-45E2-4B1D-9B0C-4988746574CD}"/>
    <cellStyle name="Normal 5 2 6 7 3" xfId="13305" xr:uid="{1F843619-3E75-4CCE-BEF6-0DE0C181580A}"/>
    <cellStyle name="Normal 5 2 6 8" xfId="17528" xr:uid="{7091F2F2-562B-48FE-B84F-59331D7FA020}"/>
    <cellStyle name="Normal 5 2 6 9" xfId="9053" xr:uid="{F0237AE1-0F62-4B4A-993D-3ADCE702A3D4}"/>
    <cellStyle name="Normal 5 2 7" xfId="881" xr:uid="{00000000-0005-0000-0000-00005E190000}"/>
    <cellStyle name="Normal 5 2 7 2" xfId="3116" xr:uid="{00000000-0005-0000-0000-00005F190000}"/>
    <cellStyle name="Normal 5 2 7 2 2" xfId="7338" xr:uid="{00000000-0005-0000-0000-000060190000}"/>
    <cellStyle name="Normal 5 2 7 2 2 2" xfId="24273" xr:uid="{16EFB9BA-729A-4015-A747-E6CB59F4537E}"/>
    <cellStyle name="Normal 5 2 7 2 2 3" xfId="15832" xr:uid="{64AD9252-47C1-47AA-81DE-EDDF1ABCE533}"/>
    <cellStyle name="Normal 5 2 7 2 3" xfId="20055" xr:uid="{BAEC18A9-128B-4CE3-ACDC-BBC637C076EE}"/>
    <cellStyle name="Normal 5 2 7 2 4" xfId="11613" xr:uid="{033DBBDA-4A60-4C45-A108-0E0D80594351}"/>
    <cellStyle name="Normal 5 2 7 3" xfId="5193" xr:uid="{00000000-0005-0000-0000-000061190000}"/>
    <cellStyle name="Normal 5 2 7 3 2" xfId="22128" xr:uid="{C53788FE-D990-4ACB-9305-7A19183F5C29}"/>
    <cellStyle name="Normal 5 2 7 3 3" xfId="13687" xr:uid="{20B74F07-1CA7-4D6B-86B5-9DA8061DD4D9}"/>
    <cellStyle name="Normal 5 2 7 4" xfId="17910" xr:uid="{1A9A7D38-1436-44FD-966B-CD9C7DA88AEB}"/>
    <cellStyle name="Normal 5 2 7 5" xfId="9436" xr:uid="{A49A6ADC-63D3-4F2E-A74B-6ACA16D1175C}"/>
    <cellStyle name="Normal 5 2 8" xfId="1299" xr:uid="{00000000-0005-0000-0000-000062190000}"/>
    <cellStyle name="Normal 5 2 8 2" xfId="3529" xr:uid="{00000000-0005-0000-0000-000063190000}"/>
    <cellStyle name="Normal 5 2 8 2 2" xfId="7751" xr:uid="{00000000-0005-0000-0000-000064190000}"/>
    <cellStyle name="Normal 5 2 8 2 2 2" xfId="24686" xr:uid="{76010326-21C4-49DA-A77F-6F258439621C}"/>
    <cellStyle name="Normal 5 2 8 2 2 3" xfId="16245" xr:uid="{6CE19715-6106-46F8-AC7B-943844BC9B24}"/>
    <cellStyle name="Normal 5 2 8 2 3" xfId="20468" xr:uid="{9E6B60B7-561F-4FC3-A41C-43F66330982E}"/>
    <cellStyle name="Normal 5 2 8 2 4" xfId="12026" xr:uid="{DD838118-404F-4F73-8426-E73A4D9737E7}"/>
    <cellStyle name="Normal 5 2 8 3" xfId="5606" xr:uid="{00000000-0005-0000-0000-000065190000}"/>
    <cellStyle name="Normal 5 2 8 3 2" xfId="22541" xr:uid="{3BBBD3B2-0CFF-4B43-AFAE-D346DCEF1545}"/>
    <cellStyle name="Normal 5 2 8 3 3" xfId="14100" xr:uid="{777CAD00-6C55-4E55-9BF0-A093D70BB781}"/>
    <cellStyle name="Normal 5 2 8 4" xfId="18323" xr:uid="{4FCECEF1-7661-46ED-A939-8D035505B456}"/>
    <cellStyle name="Normal 5 2 8 5" xfId="9849" xr:uid="{691D98C7-218D-4A9E-8584-50752527BD82}"/>
    <cellStyle name="Normal 5 2 9" xfId="1712" xr:uid="{00000000-0005-0000-0000-000066190000}"/>
    <cellStyle name="Normal 5 2 9 2" xfId="3942" xr:uid="{00000000-0005-0000-0000-000067190000}"/>
    <cellStyle name="Normal 5 2 9 2 2" xfId="8164" xr:uid="{00000000-0005-0000-0000-000068190000}"/>
    <cellStyle name="Normal 5 2 9 2 2 2" xfId="25099" xr:uid="{A85EBBE8-364C-493E-AA68-479551410673}"/>
    <cellStyle name="Normal 5 2 9 2 2 3" xfId="16658" xr:uid="{4E17CFFE-F432-4AE1-BA81-14E62B75FF8B}"/>
    <cellStyle name="Normal 5 2 9 2 3" xfId="20881" xr:uid="{F1C90D8C-73A5-4A0E-B4D6-3C43F4CB4716}"/>
    <cellStyle name="Normal 5 2 9 2 4" xfId="12439" xr:uid="{6068F12B-FDF6-4388-9809-3A78724802E9}"/>
    <cellStyle name="Normal 5 2 9 3" xfId="6019" xr:uid="{00000000-0005-0000-0000-000069190000}"/>
    <cellStyle name="Normal 5 2 9 3 2" xfId="22954" xr:uid="{50899668-1039-4E21-880E-C9F38E6B738F}"/>
    <cellStyle name="Normal 5 2 9 3 3" xfId="14513" xr:uid="{73C03DDB-97AC-4C2B-AA3B-A6148685E3F5}"/>
    <cellStyle name="Normal 5 2 9 4" xfId="18736" xr:uid="{D4749E4E-15C1-49B1-9B03-DBFFE1066225}"/>
    <cellStyle name="Normal 5 2 9 5" xfId="10262" xr:uid="{5E78AE39-6B4F-4FD5-80D0-A55AB476AB8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5544" xr:uid="{FF7583C6-2AE7-4696-BFB2-68890FD6F7CE}"/>
    <cellStyle name="Normal 5 3 10 2 2 3" xfId="17103" xr:uid="{D7C202D7-49D5-4D14-B9B0-B62A8EE2A445}"/>
    <cellStyle name="Normal 5 3 10 2 3" xfId="21326" xr:uid="{CEF272EB-325A-41FD-A042-DC2F226FFB28}"/>
    <cellStyle name="Normal 5 3 10 2 4" xfId="12884" xr:uid="{1C0344A2-CA46-4C16-80CE-603D55F33C04}"/>
    <cellStyle name="Normal 5 3 10 3" xfId="6464" xr:uid="{00000000-0005-0000-0000-00006E190000}"/>
    <cellStyle name="Normal 5 3 10 3 2" xfId="23399" xr:uid="{234F3945-69A1-44DF-AB15-0585B6472019}"/>
    <cellStyle name="Normal 5 3 10 3 3" xfId="14958" xr:uid="{38427C1A-FD90-4AE1-8EC3-6671B2728398}"/>
    <cellStyle name="Normal 5 3 10 4" xfId="19181" xr:uid="{2E62B8FD-B864-4819-901F-F610CF22A20D}"/>
    <cellStyle name="Normal 5 3 10 5" xfId="10707" xr:uid="{E0396396-1BF4-4885-BD43-098643852160}"/>
    <cellStyle name="Normal 5 3 11" xfId="2594" xr:uid="{00000000-0005-0000-0000-00006F190000}"/>
    <cellStyle name="Normal 5 3 11 2" xfId="6877" xr:uid="{00000000-0005-0000-0000-000070190000}"/>
    <cellStyle name="Normal 5 3 11 2 2" xfId="23812" xr:uid="{20D0BC72-FC62-42E5-8CFB-DFF8B8D04A6B}"/>
    <cellStyle name="Normal 5 3 11 2 3" xfId="15371" xr:uid="{8D8A3A75-E2EB-4CA3-8722-31C1E5DF1581}"/>
    <cellStyle name="Normal 5 3 11 3" xfId="19594" xr:uid="{585245F7-3CC0-4621-8884-370478E6CF1F}"/>
    <cellStyle name="Normal 5 3 11 4" xfId="11142" xr:uid="{92AFB40E-5ADC-4F40-B93A-B6C14074B016}"/>
    <cellStyle name="Normal 5 3 12" xfId="4812" xr:uid="{00000000-0005-0000-0000-000071190000}"/>
    <cellStyle name="Normal 5 3 12 2" xfId="21747" xr:uid="{2D76838F-33F9-44DB-AB8F-C8BE65DB0169}"/>
    <cellStyle name="Normal 5 3 12 3" xfId="13306" xr:uid="{6189C846-45C3-43A0-8CD5-523CCD354B7E}"/>
    <cellStyle name="Normal 5 3 13" xfId="17529" xr:uid="{318CBF9E-D8A2-4042-8A97-82F44A3758CC}"/>
    <cellStyle name="Normal 5 3 14" xfId="9054" xr:uid="{7FDB40D3-C4AB-4E65-B8CD-6593A459E754}"/>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1748" xr:uid="{D3DEE0CF-8D86-4644-971D-06F21F6E4F27}"/>
    <cellStyle name="Normal 5 3 3 10 3" xfId="13307" xr:uid="{63EE3303-0416-49B4-9E76-CEED9D740912}"/>
    <cellStyle name="Normal 5 3 3 11" xfId="17530" xr:uid="{D8887646-2DEE-42FC-AAFE-60AEE9544F64}"/>
    <cellStyle name="Normal 5 3 3 12" xfId="9055" xr:uid="{CDE92619-AA0B-4111-BB56-3537F2DC981D}"/>
    <cellStyle name="Normal 5 3 3 2" xfId="442" xr:uid="{00000000-0005-0000-0000-000076190000}"/>
    <cellStyle name="Normal 5 3 3 2 10" xfId="17531" xr:uid="{6DB99603-9A45-4394-B988-0850D4F9F7A8}"/>
    <cellStyle name="Normal 5 3 3 2 11" xfId="9056" xr:uid="{2D145EB6-A31F-4FE8-8907-14A1F5322743}"/>
    <cellStyle name="Normal 5 3 3 2 2" xfId="443" xr:uid="{00000000-0005-0000-0000-000077190000}"/>
    <cellStyle name="Normal 5 3 3 2 2 10" xfId="9057" xr:uid="{BC4B2C61-BC24-4404-A5BE-BD4E9363BC4E}"/>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4309" xr:uid="{26F5998A-4D57-4392-83DD-37F27DAF1A41}"/>
    <cellStyle name="Normal 5 3 3 2 2 2 2 2 2 3" xfId="15868" xr:uid="{D871B6A3-FD16-4109-BB26-2AFD2A0282EB}"/>
    <cellStyle name="Normal 5 3 3 2 2 2 2 2 3" xfId="20091" xr:uid="{767E2678-CBDD-4415-BA6C-1C1CB88E9D9C}"/>
    <cellStyle name="Normal 5 3 3 2 2 2 2 2 4" xfId="11649" xr:uid="{89EA677F-C587-4670-AF0D-72EB51904B3A}"/>
    <cellStyle name="Normal 5 3 3 2 2 2 2 3" xfId="5229" xr:uid="{00000000-0005-0000-0000-00007C190000}"/>
    <cellStyle name="Normal 5 3 3 2 2 2 2 3 2" xfId="22164" xr:uid="{AE41D37D-1A01-4140-8B33-C861272CAA69}"/>
    <cellStyle name="Normal 5 3 3 2 2 2 2 3 3" xfId="13723" xr:uid="{6B300FA3-7BA2-4051-B1C6-0DD8E544F290}"/>
    <cellStyle name="Normal 5 3 3 2 2 2 2 4" xfId="17946" xr:uid="{1CCBDC8C-79AE-42CD-A38D-B644C3421FF1}"/>
    <cellStyle name="Normal 5 3 3 2 2 2 2 5" xfId="9472" xr:uid="{21D54351-97C3-47EC-AF3E-29FC79F1C369}"/>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4722" xr:uid="{C4A6DD80-3A67-48AF-918B-92EA6CBDBDF2}"/>
    <cellStyle name="Normal 5 3 3 2 2 2 3 2 2 3" xfId="16281" xr:uid="{B8D94DE2-764D-4807-A3CD-5E19B31975A2}"/>
    <cellStyle name="Normal 5 3 3 2 2 2 3 2 3" xfId="20504" xr:uid="{E4BD713F-FAC5-4B27-817B-3EA0F834E1B1}"/>
    <cellStyle name="Normal 5 3 3 2 2 2 3 2 4" xfId="12062" xr:uid="{46FF1122-1588-49E7-9AA1-3FDA9E867AD0}"/>
    <cellStyle name="Normal 5 3 3 2 2 2 3 3" xfId="5642" xr:uid="{00000000-0005-0000-0000-000080190000}"/>
    <cellStyle name="Normal 5 3 3 2 2 2 3 3 2" xfId="22577" xr:uid="{E977BAE6-EDB8-4BE0-B17D-C7ECAD5C8DBC}"/>
    <cellStyle name="Normal 5 3 3 2 2 2 3 3 3" xfId="14136" xr:uid="{F26BADFE-F78C-4677-BD2A-09A67BAEAA04}"/>
    <cellStyle name="Normal 5 3 3 2 2 2 3 4" xfId="18359" xr:uid="{65C9EF6C-0267-40E6-9F26-36003BEC65C4}"/>
    <cellStyle name="Normal 5 3 3 2 2 2 3 5" xfId="9885" xr:uid="{140644F6-DF11-4534-9A77-3346525F7A2D}"/>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135" xr:uid="{34CD33C1-10CB-4F86-B07E-DECD5A88667A}"/>
    <cellStyle name="Normal 5 3 3 2 2 2 4 2 2 3" xfId="16694" xr:uid="{4A566599-7A73-4999-8468-F7A132EE3075}"/>
    <cellStyle name="Normal 5 3 3 2 2 2 4 2 3" xfId="20917" xr:uid="{86DCEA22-948D-4A43-A3C0-8C0B96E731EB}"/>
    <cellStyle name="Normal 5 3 3 2 2 2 4 2 4" xfId="12475" xr:uid="{CA022B38-7060-439F-93DD-500C3E52709E}"/>
    <cellStyle name="Normal 5 3 3 2 2 2 4 3" xfId="6055" xr:uid="{00000000-0005-0000-0000-000084190000}"/>
    <cellStyle name="Normal 5 3 3 2 2 2 4 3 2" xfId="22990" xr:uid="{86F74E50-F6AE-495E-A88A-A8248A39EC51}"/>
    <cellStyle name="Normal 5 3 3 2 2 2 4 3 3" xfId="14549" xr:uid="{1DDDDF86-7638-40B3-AA57-E648B4D4C2C8}"/>
    <cellStyle name="Normal 5 3 3 2 2 2 4 4" xfId="18772" xr:uid="{058CD6AC-CA08-459B-B1DA-9BEF892E54C4}"/>
    <cellStyle name="Normal 5 3 3 2 2 2 4 5" xfId="10298" xr:uid="{3FDCD37E-B6C3-45C5-A4AB-A43107FB0D0D}"/>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5548" xr:uid="{7ED9B177-D218-450A-B98A-B593A4B0AE14}"/>
    <cellStyle name="Normal 5 3 3 2 2 2 5 2 2 3" xfId="17107" xr:uid="{E9BA583B-587B-4C1C-A158-942250698002}"/>
    <cellStyle name="Normal 5 3 3 2 2 2 5 2 3" xfId="21330" xr:uid="{BC3BEF92-F19E-49DB-B400-471198FBF864}"/>
    <cellStyle name="Normal 5 3 3 2 2 2 5 2 4" xfId="12888" xr:uid="{1F0362D1-255B-4AB5-AF81-38A526A69653}"/>
    <cellStyle name="Normal 5 3 3 2 2 2 5 3" xfId="6468" xr:uid="{00000000-0005-0000-0000-000088190000}"/>
    <cellStyle name="Normal 5 3 3 2 2 2 5 3 2" xfId="23403" xr:uid="{34F6190F-14A0-42E0-8ABC-F27F637F25E2}"/>
    <cellStyle name="Normal 5 3 3 2 2 2 5 3 3" xfId="14962" xr:uid="{5C09D95F-BF95-46C7-8B7E-799AF072F5C1}"/>
    <cellStyle name="Normal 5 3 3 2 2 2 5 4" xfId="19185" xr:uid="{9C89F77D-A2D5-457D-A25B-A82965038679}"/>
    <cellStyle name="Normal 5 3 3 2 2 2 5 5" xfId="10711" xr:uid="{560D540F-918E-434D-831F-5F232C5C627C}"/>
    <cellStyle name="Normal 5 3 3 2 2 2 6" xfId="2598" xr:uid="{00000000-0005-0000-0000-000089190000}"/>
    <cellStyle name="Normal 5 3 3 2 2 2 6 2" xfId="6881" xr:uid="{00000000-0005-0000-0000-00008A190000}"/>
    <cellStyle name="Normal 5 3 3 2 2 2 6 2 2" xfId="23816" xr:uid="{F05348FB-3860-4B7D-B0F7-F682D632C00C}"/>
    <cellStyle name="Normal 5 3 3 2 2 2 6 2 3" xfId="15375" xr:uid="{8FA6F726-CD5C-48E7-86A0-12F314F7075F}"/>
    <cellStyle name="Normal 5 3 3 2 2 2 6 3" xfId="19598" xr:uid="{7FE4955D-ABA1-4B3D-A871-D4AA892D5D4B}"/>
    <cellStyle name="Normal 5 3 3 2 2 2 6 4" xfId="11146" xr:uid="{9262E306-C63B-419B-86CD-BFAFD8363118}"/>
    <cellStyle name="Normal 5 3 3 2 2 2 7" xfId="4816" xr:uid="{00000000-0005-0000-0000-00008B190000}"/>
    <cellStyle name="Normal 5 3 3 2 2 2 7 2" xfId="21751" xr:uid="{F4BB7221-6B84-438E-8456-A2AB424E7A33}"/>
    <cellStyle name="Normal 5 3 3 2 2 2 7 3" xfId="13310" xr:uid="{AF65F99D-D6B6-412F-877C-CFEA8E977B86}"/>
    <cellStyle name="Normal 5 3 3 2 2 2 8" xfId="17533" xr:uid="{191532DA-13F4-4875-BFD6-3B8AF8E11C6B}"/>
    <cellStyle name="Normal 5 3 3 2 2 2 9" xfId="9058" xr:uid="{551B98D7-0547-47D0-B89C-93286E6816B2}"/>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4308" xr:uid="{862CB093-7A0F-4BEC-87C6-4F640FE5B03A}"/>
    <cellStyle name="Normal 5 3 3 2 2 3 2 2 3" xfId="15867" xr:uid="{60866B41-11B2-4145-AA3A-B8BFEC9ACFA0}"/>
    <cellStyle name="Normal 5 3 3 2 2 3 2 3" xfId="20090" xr:uid="{0B152CB6-C520-4376-9C3A-B2D6188CD822}"/>
    <cellStyle name="Normal 5 3 3 2 2 3 2 4" xfId="11648" xr:uid="{28A439C2-89B4-4E0C-8A11-693A1D1AAE29}"/>
    <cellStyle name="Normal 5 3 3 2 2 3 3" xfId="5228" xr:uid="{00000000-0005-0000-0000-00008F190000}"/>
    <cellStyle name="Normal 5 3 3 2 2 3 3 2" xfId="22163" xr:uid="{2F51EF92-768C-4536-B537-953D6DC54C3F}"/>
    <cellStyle name="Normal 5 3 3 2 2 3 3 3" xfId="13722" xr:uid="{47FA8E78-92E2-4F6A-8438-8B3A3CC629E0}"/>
    <cellStyle name="Normal 5 3 3 2 2 3 4" xfId="17945" xr:uid="{DEA7FDE5-D3A6-43CE-B6B4-96D209F728F6}"/>
    <cellStyle name="Normal 5 3 3 2 2 3 5" xfId="9471" xr:uid="{43676729-0602-4E77-9F1A-FE1EB0B0BF23}"/>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4721" xr:uid="{02FF66AA-C21A-4896-A106-B1D36861A9DE}"/>
    <cellStyle name="Normal 5 3 3 2 2 4 2 2 3" xfId="16280" xr:uid="{B35EEDCC-856A-4E2B-8A0F-AB76DCDAB4D0}"/>
    <cellStyle name="Normal 5 3 3 2 2 4 2 3" xfId="20503" xr:uid="{198AB740-31AB-4E71-B3D6-B9B7F4AF4902}"/>
    <cellStyle name="Normal 5 3 3 2 2 4 2 4" xfId="12061" xr:uid="{A01F7FCE-A9C4-461E-89A1-A35DD7EF7B3D}"/>
    <cellStyle name="Normal 5 3 3 2 2 4 3" xfId="5641" xr:uid="{00000000-0005-0000-0000-000093190000}"/>
    <cellStyle name="Normal 5 3 3 2 2 4 3 2" xfId="22576" xr:uid="{7661A624-9A0F-4ECA-A2CB-EAF3A3ADDECA}"/>
    <cellStyle name="Normal 5 3 3 2 2 4 3 3" xfId="14135" xr:uid="{D3B17DCF-7DD9-4AE2-9A2C-411C0AFA8CED}"/>
    <cellStyle name="Normal 5 3 3 2 2 4 4" xfId="18358" xr:uid="{C5E0B598-D57F-44E2-BDF4-9795480A91B1}"/>
    <cellStyle name="Normal 5 3 3 2 2 4 5" xfId="9884" xr:uid="{8E104366-3026-4BDB-B146-F2F69004F0FB}"/>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134" xr:uid="{C6D79CE3-5205-43E7-AEBB-A23AD32F5940}"/>
    <cellStyle name="Normal 5 3 3 2 2 5 2 2 3" xfId="16693" xr:uid="{20294A63-F8ED-426D-87A2-776B98F5189A}"/>
    <cellStyle name="Normal 5 3 3 2 2 5 2 3" xfId="20916" xr:uid="{60E7B2B4-B000-4066-9E4E-26074C8FB22D}"/>
    <cellStyle name="Normal 5 3 3 2 2 5 2 4" xfId="12474" xr:uid="{E840B8DA-E84B-4F93-8F70-FC371056B66F}"/>
    <cellStyle name="Normal 5 3 3 2 2 5 3" xfId="6054" xr:uid="{00000000-0005-0000-0000-000097190000}"/>
    <cellStyle name="Normal 5 3 3 2 2 5 3 2" xfId="22989" xr:uid="{84A4D1D1-A87E-4054-9DA1-2FC2D8CEC32C}"/>
    <cellStyle name="Normal 5 3 3 2 2 5 3 3" xfId="14548" xr:uid="{7D446BEB-4E48-4546-A1A0-EC2C6AC0F66F}"/>
    <cellStyle name="Normal 5 3 3 2 2 5 4" xfId="18771" xr:uid="{727F509B-835B-467A-9E30-44157B72B482}"/>
    <cellStyle name="Normal 5 3 3 2 2 5 5" xfId="10297" xr:uid="{CAA48809-CBF3-4813-B92E-5935158715E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5547" xr:uid="{DA107D9D-B064-4FA6-B27D-BF4B7BCCD944}"/>
    <cellStyle name="Normal 5 3 3 2 2 6 2 2 3" xfId="17106" xr:uid="{8A00DAF4-E26E-4E73-8BCE-E063ED743204}"/>
    <cellStyle name="Normal 5 3 3 2 2 6 2 3" xfId="21329" xr:uid="{0957F6FB-4C09-4186-854E-C6FAE79834EB}"/>
    <cellStyle name="Normal 5 3 3 2 2 6 2 4" xfId="12887" xr:uid="{5CC28DB3-8A6A-4FED-8305-195907F45CD5}"/>
    <cellStyle name="Normal 5 3 3 2 2 6 3" xfId="6467" xr:uid="{00000000-0005-0000-0000-00009B190000}"/>
    <cellStyle name="Normal 5 3 3 2 2 6 3 2" xfId="23402" xr:uid="{D7F9D54E-8A1C-45E2-BBB5-E2A4A3B6449A}"/>
    <cellStyle name="Normal 5 3 3 2 2 6 3 3" xfId="14961" xr:uid="{3D002CE3-367F-4AB7-86F6-B73B4108E129}"/>
    <cellStyle name="Normal 5 3 3 2 2 6 4" xfId="19184" xr:uid="{B0DD6CAF-9AE5-437D-B4A0-63A9C076C127}"/>
    <cellStyle name="Normal 5 3 3 2 2 6 5" xfId="10710" xr:uid="{7A346A9D-3AC8-43F8-8077-5EAA473C0A8C}"/>
    <cellStyle name="Normal 5 3 3 2 2 7" xfId="2597" xr:uid="{00000000-0005-0000-0000-00009C190000}"/>
    <cellStyle name="Normal 5 3 3 2 2 7 2" xfId="6880" xr:uid="{00000000-0005-0000-0000-00009D190000}"/>
    <cellStyle name="Normal 5 3 3 2 2 7 2 2" xfId="23815" xr:uid="{C168682B-DD9E-4E4F-8F33-A4E8772EF5A4}"/>
    <cellStyle name="Normal 5 3 3 2 2 7 2 3" xfId="15374" xr:uid="{F5986D90-A761-47FE-A2CE-04BE1572215A}"/>
    <cellStyle name="Normal 5 3 3 2 2 7 3" xfId="19597" xr:uid="{F6CDA5E6-8FAA-4333-B65C-D4F2631F9477}"/>
    <cellStyle name="Normal 5 3 3 2 2 7 4" xfId="11145" xr:uid="{B76A0136-F1D8-4F93-961A-F04DF82F458A}"/>
    <cellStyle name="Normal 5 3 3 2 2 8" xfId="4815" xr:uid="{00000000-0005-0000-0000-00009E190000}"/>
    <cellStyle name="Normal 5 3 3 2 2 8 2" xfId="21750" xr:uid="{9670261F-2B31-488E-B85A-EA13E40DE9A9}"/>
    <cellStyle name="Normal 5 3 3 2 2 8 3" xfId="13309" xr:uid="{89BA9A7C-88BB-486A-AACF-D96B8067ED7F}"/>
    <cellStyle name="Normal 5 3 3 2 2 9" xfId="17532" xr:uid="{787BBE24-6A25-49AF-9765-377D4DC460C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4310" xr:uid="{62301908-A145-4740-9682-995970DDB11D}"/>
    <cellStyle name="Normal 5 3 3 2 3 2 2 2 3" xfId="15869" xr:uid="{8F9B538E-D416-4561-B7F7-1DA51F615EF7}"/>
    <cellStyle name="Normal 5 3 3 2 3 2 2 3" xfId="20092" xr:uid="{2095367C-B934-4D1F-814B-126EE1159FE4}"/>
    <cellStyle name="Normal 5 3 3 2 3 2 2 4" xfId="11650" xr:uid="{1363E840-AC92-4350-8A5A-58C3CF1A8139}"/>
    <cellStyle name="Normal 5 3 3 2 3 2 3" xfId="5230" xr:uid="{00000000-0005-0000-0000-0000A3190000}"/>
    <cellStyle name="Normal 5 3 3 2 3 2 3 2" xfId="22165" xr:uid="{3BA40027-1BA5-4F9B-A678-E07B4AD7496E}"/>
    <cellStyle name="Normal 5 3 3 2 3 2 3 3" xfId="13724" xr:uid="{DE0AF6F7-AA69-4B45-BB2A-69857230FDF7}"/>
    <cellStyle name="Normal 5 3 3 2 3 2 4" xfId="17947" xr:uid="{C80F731A-B467-49AF-A77D-1DAA2856B258}"/>
    <cellStyle name="Normal 5 3 3 2 3 2 5" xfId="9473" xr:uid="{ABFD1BC8-0D86-476C-B8C5-B97D8F01CACB}"/>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4723" xr:uid="{CFA52E0E-C38C-40A6-A351-A622F2865890}"/>
    <cellStyle name="Normal 5 3 3 2 3 3 2 2 3" xfId="16282" xr:uid="{C60C3AC2-D32A-4655-94F2-F10E40F80726}"/>
    <cellStyle name="Normal 5 3 3 2 3 3 2 3" xfId="20505" xr:uid="{9A3B8583-E04C-4968-8D94-1B78F1B3EA1C}"/>
    <cellStyle name="Normal 5 3 3 2 3 3 2 4" xfId="12063" xr:uid="{C2C4F2DB-833F-47BA-9A65-3CD096CF07F6}"/>
    <cellStyle name="Normal 5 3 3 2 3 3 3" xfId="5643" xr:uid="{00000000-0005-0000-0000-0000A7190000}"/>
    <cellStyle name="Normal 5 3 3 2 3 3 3 2" xfId="22578" xr:uid="{42622D27-2173-42E9-B53E-299538497F9F}"/>
    <cellStyle name="Normal 5 3 3 2 3 3 3 3" xfId="14137" xr:uid="{1C26C53D-7BEE-40C1-A6A2-A6E5429874EC}"/>
    <cellStyle name="Normal 5 3 3 2 3 3 4" xfId="18360" xr:uid="{4F5A88C7-D7F4-44D2-8683-C08D2FD83048}"/>
    <cellStyle name="Normal 5 3 3 2 3 3 5" xfId="9886" xr:uid="{0DA8CDCB-9F37-452C-B43E-55063EF8C47E}"/>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136" xr:uid="{F64BB3DE-5AD8-47C2-88F4-35AF79306DE7}"/>
    <cellStyle name="Normal 5 3 3 2 3 4 2 2 3" xfId="16695" xr:uid="{103D7ECC-6952-4418-823F-FF0F7046F750}"/>
    <cellStyle name="Normal 5 3 3 2 3 4 2 3" xfId="20918" xr:uid="{735FF225-0C86-46DD-BC9F-72F730D4037B}"/>
    <cellStyle name="Normal 5 3 3 2 3 4 2 4" xfId="12476" xr:uid="{F9C52622-9BD9-48FB-9501-84BEB3CE28AA}"/>
    <cellStyle name="Normal 5 3 3 2 3 4 3" xfId="6056" xr:uid="{00000000-0005-0000-0000-0000AB190000}"/>
    <cellStyle name="Normal 5 3 3 2 3 4 3 2" xfId="22991" xr:uid="{88BC74BA-71CF-4938-95AE-9DBC042FA0B0}"/>
    <cellStyle name="Normal 5 3 3 2 3 4 3 3" xfId="14550" xr:uid="{524A464B-E8A6-4A98-AC46-1471C1D6E371}"/>
    <cellStyle name="Normal 5 3 3 2 3 4 4" xfId="18773" xr:uid="{4692BCA6-0077-4D13-8C4D-72EEDB53C307}"/>
    <cellStyle name="Normal 5 3 3 2 3 4 5" xfId="10299" xr:uid="{F0F6DA48-547F-4DB9-B1BB-1248A6113EE2}"/>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5549" xr:uid="{70E8E1AE-FB18-46D7-91F2-91240E50E322}"/>
    <cellStyle name="Normal 5 3 3 2 3 5 2 2 3" xfId="17108" xr:uid="{0ED20628-ACF2-4C2A-A133-F39DCFB0CBB2}"/>
    <cellStyle name="Normal 5 3 3 2 3 5 2 3" xfId="21331" xr:uid="{4381BB1C-421B-49D3-B119-9E7857C73E85}"/>
    <cellStyle name="Normal 5 3 3 2 3 5 2 4" xfId="12889" xr:uid="{39BF5470-5AAD-4E83-89D1-6476072B5970}"/>
    <cellStyle name="Normal 5 3 3 2 3 5 3" xfId="6469" xr:uid="{00000000-0005-0000-0000-0000AF190000}"/>
    <cellStyle name="Normal 5 3 3 2 3 5 3 2" xfId="23404" xr:uid="{D4F38E16-1CA2-479E-8A60-F6823729FFC7}"/>
    <cellStyle name="Normal 5 3 3 2 3 5 3 3" xfId="14963" xr:uid="{D64EFF2F-A70D-4356-8E0D-773A9D66DEDC}"/>
    <cellStyle name="Normal 5 3 3 2 3 5 4" xfId="19186" xr:uid="{05595900-FB21-432B-BEAD-99826692B4E2}"/>
    <cellStyle name="Normal 5 3 3 2 3 5 5" xfId="10712" xr:uid="{1D4F05CA-F69D-4213-8058-59DEA71D9AD7}"/>
    <cellStyle name="Normal 5 3 3 2 3 6" xfId="2599" xr:uid="{00000000-0005-0000-0000-0000B0190000}"/>
    <cellStyle name="Normal 5 3 3 2 3 6 2" xfId="6882" xr:uid="{00000000-0005-0000-0000-0000B1190000}"/>
    <cellStyle name="Normal 5 3 3 2 3 6 2 2" xfId="23817" xr:uid="{8F7B7925-71FE-4CAD-8EC3-9C32C6A812DF}"/>
    <cellStyle name="Normal 5 3 3 2 3 6 2 3" xfId="15376" xr:uid="{B4BD2C28-7863-4355-A6E3-F60756F9443F}"/>
    <cellStyle name="Normal 5 3 3 2 3 6 3" xfId="19599" xr:uid="{ECD9D7A7-7892-4D98-8A1F-CFAD6562DF2B}"/>
    <cellStyle name="Normal 5 3 3 2 3 6 4" xfId="11147" xr:uid="{FDCC840B-9C49-4508-94F8-6242CF03421A}"/>
    <cellStyle name="Normal 5 3 3 2 3 7" xfId="4817" xr:uid="{00000000-0005-0000-0000-0000B2190000}"/>
    <cellStyle name="Normal 5 3 3 2 3 7 2" xfId="21752" xr:uid="{ABC88A91-5F02-4FF8-B34F-00D01A15D0B1}"/>
    <cellStyle name="Normal 5 3 3 2 3 7 3" xfId="13311" xr:uid="{CAED4D73-F962-4821-BEBF-5D9A9C26DF25}"/>
    <cellStyle name="Normal 5 3 3 2 3 8" xfId="17534" xr:uid="{22A1E50D-7FCF-415A-A8A3-CD63A24C299F}"/>
    <cellStyle name="Normal 5 3 3 2 3 9" xfId="9059" xr:uid="{DEB50673-D126-49B3-AC83-DEFF29158C05}"/>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4307" xr:uid="{4BECE958-B6C8-429D-A30C-B9E007838B0A}"/>
    <cellStyle name="Normal 5 3 3 2 4 2 2 3" xfId="15866" xr:uid="{4F4418B1-FFA6-4EF4-8D0C-0F89C96FC10A}"/>
    <cellStyle name="Normal 5 3 3 2 4 2 3" xfId="20089" xr:uid="{8CABC1C1-E018-499C-80B8-07DCC4BE6168}"/>
    <cellStyle name="Normal 5 3 3 2 4 2 4" xfId="11647" xr:uid="{5B621530-9B9F-4807-B996-22B2CAF51FB3}"/>
    <cellStyle name="Normal 5 3 3 2 4 3" xfId="5227" xr:uid="{00000000-0005-0000-0000-0000B6190000}"/>
    <cellStyle name="Normal 5 3 3 2 4 3 2" xfId="22162" xr:uid="{9455539C-E73F-4A26-AE48-57E6CFAAC828}"/>
    <cellStyle name="Normal 5 3 3 2 4 3 3" xfId="13721" xr:uid="{ED0F1FC1-CA2B-4317-B0B5-5079863D3CFC}"/>
    <cellStyle name="Normal 5 3 3 2 4 4" xfId="17944" xr:uid="{216AF132-05AF-40AF-B211-40B317FE3E2A}"/>
    <cellStyle name="Normal 5 3 3 2 4 5" xfId="9470" xr:uid="{7C67495F-1FD2-40E4-8BF0-1C9E90AD9E07}"/>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4720" xr:uid="{45AF1CC7-B405-4A26-BED1-A7FDED9FC921}"/>
    <cellStyle name="Normal 5 3 3 2 5 2 2 3" xfId="16279" xr:uid="{BF2EF3F1-0BC4-4BF7-B725-BE3D144291D6}"/>
    <cellStyle name="Normal 5 3 3 2 5 2 3" xfId="20502" xr:uid="{A10A6DBD-DAF1-4D56-83D3-EEE6DB84ACE4}"/>
    <cellStyle name="Normal 5 3 3 2 5 2 4" xfId="12060" xr:uid="{B05BDA22-D39F-4161-8FBC-9E3584ADA734}"/>
    <cellStyle name="Normal 5 3 3 2 5 3" xfId="5640" xr:uid="{00000000-0005-0000-0000-0000BA190000}"/>
    <cellStyle name="Normal 5 3 3 2 5 3 2" xfId="22575" xr:uid="{B5E99EE3-A12B-458A-A830-3CD1DE7E3BB9}"/>
    <cellStyle name="Normal 5 3 3 2 5 3 3" xfId="14134" xr:uid="{B0AE5871-8103-4063-85BE-4D8BB2620F00}"/>
    <cellStyle name="Normal 5 3 3 2 5 4" xfId="18357" xr:uid="{57141B8B-2099-43A8-881E-3E7437DD1D6A}"/>
    <cellStyle name="Normal 5 3 3 2 5 5" xfId="9883" xr:uid="{D30531D3-30C5-44EA-82E9-B1020E5E93F7}"/>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133" xr:uid="{9150E146-84BB-494F-91EA-D6FB34FC634F}"/>
    <cellStyle name="Normal 5 3 3 2 6 2 2 3" xfId="16692" xr:uid="{6924D1CC-C8C7-47B2-915C-9C6213807C55}"/>
    <cellStyle name="Normal 5 3 3 2 6 2 3" xfId="20915" xr:uid="{171FE2FD-AE55-4995-9C20-8792A2E8F738}"/>
    <cellStyle name="Normal 5 3 3 2 6 2 4" xfId="12473" xr:uid="{09B61308-6B6A-4279-BF6A-F6D641EAF740}"/>
    <cellStyle name="Normal 5 3 3 2 6 3" xfId="6053" xr:uid="{00000000-0005-0000-0000-0000BE190000}"/>
    <cellStyle name="Normal 5 3 3 2 6 3 2" xfId="22988" xr:uid="{37DAF105-B8D2-42CD-A6AF-815EC69E2DA6}"/>
    <cellStyle name="Normal 5 3 3 2 6 3 3" xfId="14547" xr:uid="{9C3655E9-FD67-482B-BD39-43C0BA60173E}"/>
    <cellStyle name="Normal 5 3 3 2 6 4" xfId="18770" xr:uid="{4403630F-0EE0-4628-8E36-5870D31A4044}"/>
    <cellStyle name="Normal 5 3 3 2 6 5" xfId="10296" xr:uid="{064E3E05-B76F-45CC-B5DE-24E91999964A}"/>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5546" xr:uid="{D48F6809-99EE-40A4-BA0E-7380F7FDB5FC}"/>
    <cellStyle name="Normal 5 3 3 2 7 2 2 3" xfId="17105" xr:uid="{9E9EAFDD-4191-4662-8438-17C222CB8251}"/>
    <cellStyle name="Normal 5 3 3 2 7 2 3" xfId="21328" xr:uid="{6BF2FB42-3BB6-4B62-B290-0F3676228C80}"/>
    <cellStyle name="Normal 5 3 3 2 7 2 4" xfId="12886" xr:uid="{92DC7ED5-B69B-4101-BA19-420F1E5F6151}"/>
    <cellStyle name="Normal 5 3 3 2 7 3" xfId="6466" xr:uid="{00000000-0005-0000-0000-0000C2190000}"/>
    <cellStyle name="Normal 5 3 3 2 7 3 2" xfId="23401" xr:uid="{8DF9B476-DA16-4EE9-B21D-AED7AC06D6A6}"/>
    <cellStyle name="Normal 5 3 3 2 7 3 3" xfId="14960" xr:uid="{BE3AABE9-695B-4F51-A8AD-BE3C0A2E10AB}"/>
    <cellStyle name="Normal 5 3 3 2 7 4" xfId="19183" xr:uid="{76A8DE83-0C33-435A-A249-F8B32C376D5F}"/>
    <cellStyle name="Normal 5 3 3 2 7 5" xfId="10709" xr:uid="{5A79DB51-D757-47B3-92F2-839C8EB89588}"/>
    <cellStyle name="Normal 5 3 3 2 8" xfId="2596" xr:uid="{00000000-0005-0000-0000-0000C3190000}"/>
    <cellStyle name="Normal 5 3 3 2 8 2" xfId="6879" xr:uid="{00000000-0005-0000-0000-0000C4190000}"/>
    <cellStyle name="Normal 5 3 3 2 8 2 2" xfId="23814" xr:uid="{AE21205B-C855-4377-9547-F7330CBF85CE}"/>
    <cellStyle name="Normal 5 3 3 2 8 2 3" xfId="15373" xr:uid="{E4783C97-B04C-49D6-A02B-351784AC1E7F}"/>
    <cellStyle name="Normal 5 3 3 2 8 3" xfId="19596" xr:uid="{DC80B058-A293-4933-9D59-211D1A5BC6A2}"/>
    <cellStyle name="Normal 5 3 3 2 8 4" xfId="11144" xr:uid="{F5FD430C-9D5F-45E9-B082-507AE18FE567}"/>
    <cellStyle name="Normal 5 3 3 2 9" xfId="4814" xr:uid="{00000000-0005-0000-0000-0000C5190000}"/>
    <cellStyle name="Normal 5 3 3 2 9 2" xfId="21749" xr:uid="{89E0BFC4-3B0F-4E7E-8604-FA0599A2C2FE}"/>
    <cellStyle name="Normal 5 3 3 2 9 3" xfId="13308" xr:uid="{DC167EE8-173D-4DE4-BC61-D0796E5AB450}"/>
    <cellStyle name="Normal 5 3 3 3" xfId="446" xr:uid="{00000000-0005-0000-0000-0000C6190000}"/>
    <cellStyle name="Normal 5 3 3 3 10" xfId="9060" xr:uid="{9F3B3D14-529B-4FEC-8EA3-B83AED962D87}"/>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4312" xr:uid="{4990BF4C-A5A5-409E-8116-4FF6F5CCA7F6}"/>
    <cellStyle name="Normal 5 3 3 3 2 2 2 2 3" xfId="15871" xr:uid="{DB3CDAF2-4B5A-4808-8109-D8C3988905A9}"/>
    <cellStyle name="Normal 5 3 3 3 2 2 2 3" xfId="20094" xr:uid="{E5F64CA0-2E90-4B7D-A8A5-A06D4D273BEF}"/>
    <cellStyle name="Normal 5 3 3 3 2 2 2 4" xfId="11652" xr:uid="{490EFC35-7AFF-44C9-AB73-E4F00368A4B9}"/>
    <cellStyle name="Normal 5 3 3 3 2 2 3" xfId="5232" xr:uid="{00000000-0005-0000-0000-0000CB190000}"/>
    <cellStyle name="Normal 5 3 3 3 2 2 3 2" xfId="22167" xr:uid="{664DB300-0BD6-40AF-874D-0364599DB8BD}"/>
    <cellStyle name="Normal 5 3 3 3 2 2 3 3" xfId="13726" xr:uid="{FC02E814-1297-4679-A992-F2479E17FB0E}"/>
    <cellStyle name="Normal 5 3 3 3 2 2 4" xfId="17949" xr:uid="{B766089E-EB99-4FC3-B0F6-29C11D415B71}"/>
    <cellStyle name="Normal 5 3 3 3 2 2 5" xfId="9475" xr:uid="{B3A15274-476F-4330-9025-94D0E9B11113}"/>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4725" xr:uid="{5822B085-DFCD-461E-BEE5-B981F2DE10E1}"/>
    <cellStyle name="Normal 5 3 3 3 2 3 2 2 3" xfId="16284" xr:uid="{98BEE481-6CB4-47A5-8E3C-71A3E087C60B}"/>
    <cellStyle name="Normal 5 3 3 3 2 3 2 3" xfId="20507" xr:uid="{740C6050-903C-49F9-88C8-814D919127B1}"/>
    <cellStyle name="Normal 5 3 3 3 2 3 2 4" xfId="12065" xr:uid="{89474A0E-705F-43CA-A0EC-8912A1ED3B84}"/>
    <cellStyle name="Normal 5 3 3 3 2 3 3" xfId="5645" xr:uid="{00000000-0005-0000-0000-0000CF190000}"/>
    <cellStyle name="Normal 5 3 3 3 2 3 3 2" xfId="22580" xr:uid="{4A29638A-B565-41C2-BDF7-75EC9D7AA449}"/>
    <cellStyle name="Normal 5 3 3 3 2 3 3 3" xfId="14139" xr:uid="{C2FCA253-4848-4E93-A491-480AF0DF0458}"/>
    <cellStyle name="Normal 5 3 3 3 2 3 4" xfId="18362" xr:uid="{FFA697E3-49C2-4E24-80D0-956795738A0F}"/>
    <cellStyle name="Normal 5 3 3 3 2 3 5" xfId="9888" xr:uid="{20E42BFE-39C1-4E15-BD14-5B992D4D1B62}"/>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138" xr:uid="{0AF6BB58-5AB7-4E07-8544-4FF1F9B16019}"/>
    <cellStyle name="Normal 5 3 3 3 2 4 2 2 3" xfId="16697" xr:uid="{F489E031-D38D-4D5A-954D-30907D0B772B}"/>
    <cellStyle name="Normal 5 3 3 3 2 4 2 3" xfId="20920" xr:uid="{26F3CA15-685C-48D2-B243-F31BBD83B976}"/>
    <cellStyle name="Normal 5 3 3 3 2 4 2 4" xfId="12478" xr:uid="{7CF5AE7B-F7CE-48F9-BF28-91E37AB96107}"/>
    <cellStyle name="Normal 5 3 3 3 2 4 3" xfId="6058" xr:uid="{00000000-0005-0000-0000-0000D3190000}"/>
    <cellStyle name="Normal 5 3 3 3 2 4 3 2" xfId="22993" xr:uid="{E0CFAB0A-7DA1-4E41-BD3B-2504FE156B91}"/>
    <cellStyle name="Normal 5 3 3 3 2 4 3 3" xfId="14552" xr:uid="{F630CEE0-07DD-41BE-BEFE-5D23E2FAF8E1}"/>
    <cellStyle name="Normal 5 3 3 3 2 4 4" xfId="18775" xr:uid="{12D8A18E-8CEB-4B77-9FC5-DF8503BA9283}"/>
    <cellStyle name="Normal 5 3 3 3 2 4 5" xfId="10301" xr:uid="{14867082-3856-4AF8-B8B6-F9D71EC5F52E}"/>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5551" xr:uid="{F618AEA5-E9CC-4A10-A24A-3FF68E329223}"/>
    <cellStyle name="Normal 5 3 3 3 2 5 2 2 3" xfId="17110" xr:uid="{D6CD7066-83B0-4CA9-BD7A-3E9AAEA0AD18}"/>
    <cellStyle name="Normal 5 3 3 3 2 5 2 3" xfId="21333" xr:uid="{4BAF31BF-CF81-47BA-992B-7534783E1FC9}"/>
    <cellStyle name="Normal 5 3 3 3 2 5 2 4" xfId="12891" xr:uid="{4806FCC1-188C-433C-BECF-436DA8EDEF50}"/>
    <cellStyle name="Normal 5 3 3 3 2 5 3" xfId="6471" xr:uid="{00000000-0005-0000-0000-0000D7190000}"/>
    <cellStyle name="Normal 5 3 3 3 2 5 3 2" xfId="23406" xr:uid="{E6DE5F7D-B90D-4DE7-8D9F-7B8236DE451F}"/>
    <cellStyle name="Normal 5 3 3 3 2 5 3 3" xfId="14965" xr:uid="{3BDED300-2AB5-4326-A919-5B0E7F6632A7}"/>
    <cellStyle name="Normal 5 3 3 3 2 5 4" xfId="19188" xr:uid="{A4233F38-5A72-4DB5-AB14-A4C53F571EB4}"/>
    <cellStyle name="Normal 5 3 3 3 2 5 5" xfId="10714" xr:uid="{0DBE1D7C-1B2E-4177-8F2C-84120998B9DD}"/>
    <cellStyle name="Normal 5 3 3 3 2 6" xfId="2601" xr:uid="{00000000-0005-0000-0000-0000D8190000}"/>
    <cellStyle name="Normal 5 3 3 3 2 6 2" xfId="6884" xr:uid="{00000000-0005-0000-0000-0000D9190000}"/>
    <cellStyle name="Normal 5 3 3 3 2 6 2 2" xfId="23819" xr:uid="{C3345F78-D9C3-4021-B52E-4D0A9A6BDB2D}"/>
    <cellStyle name="Normal 5 3 3 3 2 6 2 3" xfId="15378" xr:uid="{4DD4EF95-9B1D-411B-9479-9E3B21ECDADB}"/>
    <cellStyle name="Normal 5 3 3 3 2 6 3" xfId="19601" xr:uid="{D206AB3E-1CE0-4FFB-BABB-AC66D8F5F6A8}"/>
    <cellStyle name="Normal 5 3 3 3 2 6 4" xfId="11149" xr:uid="{81E43596-A80E-4F70-908C-4392079753CE}"/>
    <cellStyle name="Normal 5 3 3 3 2 7" xfId="4819" xr:uid="{00000000-0005-0000-0000-0000DA190000}"/>
    <cellStyle name="Normal 5 3 3 3 2 7 2" xfId="21754" xr:uid="{90F8ADDD-0ED3-41A8-BD74-046E46073B45}"/>
    <cellStyle name="Normal 5 3 3 3 2 7 3" xfId="13313" xr:uid="{C2A8FBDC-725F-4EDB-B911-E2B917E90BB4}"/>
    <cellStyle name="Normal 5 3 3 3 2 8" xfId="17536" xr:uid="{CB2FD859-7F85-4659-BF4D-C9ADC889FBD1}"/>
    <cellStyle name="Normal 5 3 3 3 2 9" xfId="9061" xr:uid="{9B545BC0-D543-4C90-B2AB-06F0AC929758}"/>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4311" xr:uid="{C8C7EAD9-9AE6-47DE-8B6D-1C947A5C6628}"/>
    <cellStyle name="Normal 5 3 3 3 3 2 2 3" xfId="15870" xr:uid="{9343D452-0E47-4186-89FE-30CBA8D13E10}"/>
    <cellStyle name="Normal 5 3 3 3 3 2 3" xfId="20093" xr:uid="{BA7FE5DA-1E03-4B09-AF3E-D3E02D35E73A}"/>
    <cellStyle name="Normal 5 3 3 3 3 2 4" xfId="11651" xr:uid="{4AD941FB-5EB1-4B84-9540-10C6F2B843B0}"/>
    <cellStyle name="Normal 5 3 3 3 3 3" xfId="5231" xr:uid="{00000000-0005-0000-0000-0000DE190000}"/>
    <cellStyle name="Normal 5 3 3 3 3 3 2" xfId="22166" xr:uid="{A3B49AE3-5B8C-45F8-B829-02E669A1C4D1}"/>
    <cellStyle name="Normal 5 3 3 3 3 3 3" xfId="13725" xr:uid="{5C8784B2-9E7C-4468-AE4F-5AF8248C49C6}"/>
    <cellStyle name="Normal 5 3 3 3 3 4" xfId="17948" xr:uid="{DA28E139-1E88-4F98-87F2-07DEFB87A70D}"/>
    <cellStyle name="Normal 5 3 3 3 3 5" xfId="9474" xr:uid="{D1996D69-2D9F-4E3A-A0A1-BA549AC8681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4724" xr:uid="{41D27D34-66BC-4C3E-8B9B-43254B4A64D4}"/>
    <cellStyle name="Normal 5 3 3 3 4 2 2 3" xfId="16283" xr:uid="{9DD1411F-2780-4BA3-9BD6-A4660FAE5CFD}"/>
    <cellStyle name="Normal 5 3 3 3 4 2 3" xfId="20506" xr:uid="{FF85513C-88B2-4B3B-B4B7-9A7DABCCA703}"/>
    <cellStyle name="Normal 5 3 3 3 4 2 4" xfId="12064" xr:uid="{F67F3196-C691-4245-8E7D-B8C26370ADD3}"/>
    <cellStyle name="Normal 5 3 3 3 4 3" xfId="5644" xr:uid="{00000000-0005-0000-0000-0000E2190000}"/>
    <cellStyle name="Normal 5 3 3 3 4 3 2" xfId="22579" xr:uid="{E31EAE8B-3F5C-443A-9E58-E5FB8BB0F61F}"/>
    <cellStyle name="Normal 5 3 3 3 4 3 3" xfId="14138" xr:uid="{F0CEFFB3-63BC-4630-A776-0F42FCC55726}"/>
    <cellStyle name="Normal 5 3 3 3 4 4" xfId="18361" xr:uid="{49467FB8-6CB1-4708-A8E7-D8B497593355}"/>
    <cellStyle name="Normal 5 3 3 3 4 5" xfId="9887" xr:uid="{9E2C3A93-CFF7-4E94-AEF1-5A8D90C3E73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137" xr:uid="{7473318F-3B9A-45DD-8E45-FDA8952C28F8}"/>
    <cellStyle name="Normal 5 3 3 3 5 2 2 3" xfId="16696" xr:uid="{DCBBF0AE-9A2B-44CC-A9BF-28EDBF2FE2BD}"/>
    <cellStyle name="Normal 5 3 3 3 5 2 3" xfId="20919" xr:uid="{F72C0E50-AC73-495F-8373-ED2EE9515B74}"/>
    <cellStyle name="Normal 5 3 3 3 5 2 4" xfId="12477" xr:uid="{ABB9C8CD-1629-42A3-B763-D95E5FAEDF1B}"/>
    <cellStyle name="Normal 5 3 3 3 5 3" xfId="6057" xr:uid="{00000000-0005-0000-0000-0000E6190000}"/>
    <cellStyle name="Normal 5 3 3 3 5 3 2" xfId="22992" xr:uid="{69EA628D-BC21-4EB4-B2E9-947259BAD089}"/>
    <cellStyle name="Normal 5 3 3 3 5 3 3" xfId="14551" xr:uid="{C3523BD7-84E8-43A9-AB5E-762F7E90D984}"/>
    <cellStyle name="Normal 5 3 3 3 5 4" xfId="18774" xr:uid="{6F286DC3-116E-49C4-851F-C1C3BD054A18}"/>
    <cellStyle name="Normal 5 3 3 3 5 5" xfId="10300" xr:uid="{4DD603FC-7635-4C4B-8098-28992082F408}"/>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5550" xr:uid="{C9F9A3D1-80A3-4937-B6CD-AFC0E4076ADD}"/>
    <cellStyle name="Normal 5 3 3 3 6 2 2 3" xfId="17109" xr:uid="{518760B6-FDD3-4D26-890C-9B8584A5E83F}"/>
    <cellStyle name="Normal 5 3 3 3 6 2 3" xfId="21332" xr:uid="{D2DE4A0B-91AC-401B-974E-A8EC36928B02}"/>
    <cellStyle name="Normal 5 3 3 3 6 2 4" xfId="12890" xr:uid="{6BCBE05D-14D3-482D-8966-5DDD11158667}"/>
    <cellStyle name="Normal 5 3 3 3 6 3" xfId="6470" xr:uid="{00000000-0005-0000-0000-0000EA190000}"/>
    <cellStyle name="Normal 5 3 3 3 6 3 2" xfId="23405" xr:uid="{C88B1B52-93BC-49D3-A1E3-6DCC985F2984}"/>
    <cellStyle name="Normal 5 3 3 3 6 3 3" xfId="14964" xr:uid="{BD1C7DC1-32E5-4C91-BE26-F1D0D6588704}"/>
    <cellStyle name="Normal 5 3 3 3 6 4" xfId="19187" xr:uid="{E29ED2C0-066C-4F3C-A926-3D9B51C9D5B5}"/>
    <cellStyle name="Normal 5 3 3 3 6 5" xfId="10713" xr:uid="{061AF57D-3AC4-4B79-99CF-267F2D69DBBF}"/>
    <cellStyle name="Normal 5 3 3 3 7" xfId="2600" xr:uid="{00000000-0005-0000-0000-0000EB190000}"/>
    <cellStyle name="Normal 5 3 3 3 7 2" xfId="6883" xr:uid="{00000000-0005-0000-0000-0000EC190000}"/>
    <cellStyle name="Normal 5 3 3 3 7 2 2" xfId="23818" xr:uid="{F09DCFD3-79A1-473B-9BAA-B8CDCAF7AD5A}"/>
    <cellStyle name="Normal 5 3 3 3 7 2 3" xfId="15377" xr:uid="{34578CCD-EA94-4032-A99B-E86FF3B6CAED}"/>
    <cellStyle name="Normal 5 3 3 3 7 3" xfId="19600" xr:uid="{3621A78C-AF9D-468D-80E2-D4317EE903B0}"/>
    <cellStyle name="Normal 5 3 3 3 7 4" xfId="11148" xr:uid="{60F0D43A-9254-491C-A6E8-45448ECCF833}"/>
    <cellStyle name="Normal 5 3 3 3 8" xfId="4818" xr:uid="{00000000-0005-0000-0000-0000ED190000}"/>
    <cellStyle name="Normal 5 3 3 3 8 2" xfId="21753" xr:uid="{6E0FF01B-20E6-4239-900A-9C6773BE40B7}"/>
    <cellStyle name="Normal 5 3 3 3 8 3" xfId="13312" xr:uid="{A6512585-A6B4-401E-B418-BAE2CD1AD85D}"/>
    <cellStyle name="Normal 5 3 3 3 9" xfId="17535" xr:uid="{5EB64852-FC38-4C75-84D1-3D7C4016E27D}"/>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4313" xr:uid="{5B537852-1F7A-43E5-BA26-891654B8901D}"/>
    <cellStyle name="Normal 5 3 3 4 2 2 2 3" xfId="15872" xr:uid="{EAB7E1DE-9EC5-45EF-B4BD-544B9B08C1C5}"/>
    <cellStyle name="Normal 5 3 3 4 2 2 3" xfId="20095" xr:uid="{2EB181CF-11BE-41A0-969F-5D3E30849058}"/>
    <cellStyle name="Normal 5 3 3 4 2 2 4" xfId="11653" xr:uid="{796F8E4B-DACD-43DA-A267-DF6B0EFD9D54}"/>
    <cellStyle name="Normal 5 3 3 4 2 3" xfId="5233" xr:uid="{00000000-0005-0000-0000-0000F2190000}"/>
    <cellStyle name="Normal 5 3 3 4 2 3 2" xfId="22168" xr:uid="{2F28C134-61A6-4932-83B4-C894B26AD72C}"/>
    <cellStyle name="Normal 5 3 3 4 2 3 3" xfId="13727" xr:uid="{C947784E-8D92-4892-8D4C-77E3A2EAF75B}"/>
    <cellStyle name="Normal 5 3 3 4 2 4" xfId="17950" xr:uid="{5FD52FCC-AE48-4F6D-B46E-5B3B687013DC}"/>
    <cellStyle name="Normal 5 3 3 4 2 5" xfId="9476" xr:uid="{793FD9B5-84C4-4CED-84DB-00F85D4F4232}"/>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4726" xr:uid="{FC89F4C3-0693-4D3A-A14E-DBA7F3622A4C}"/>
    <cellStyle name="Normal 5 3 3 4 3 2 2 3" xfId="16285" xr:uid="{934BF857-11B0-432C-B55A-E41A79B8F2A8}"/>
    <cellStyle name="Normal 5 3 3 4 3 2 3" xfId="20508" xr:uid="{F1A61343-FCA5-43B7-BC7D-FB4B8677EC11}"/>
    <cellStyle name="Normal 5 3 3 4 3 2 4" xfId="12066" xr:uid="{09415D63-F70D-4F79-A548-0CBA7C8771FD}"/>
    <cellStyle name="Normal 5 3 3 4 3 3" xfId="5646" xr:uid="{00000000-0005-0000-0000-0000F6190000}"/>
    <cellStyle name="Normal 5 3 3 4 3 3 2" xfId="22581" xr:uid="{97216672-B9EF-48C1-A3DA-5AE3AB5329B5}"/>
    <cellStyle name="Normal 5 3 3 4 3 3 3" xfId="14140" xr:uid="{F375D81C-063D-4B5C-8AD9-27081448D42F}"/>
    <cellStyle name="Normal 5 3 3 4 3 4" xfId="18363" xr:uid="{D877F297-DA70-4A33-8BF2-3A6BF2D09AB3}"/>
    <cellStyle name="Normal 5 3 3 4 3 5" xfId="9889" xr:uid="{ACBB11D7-9FEE-4CD7-A3A4-E2817B32C53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139" xr:uid="{CD9FE7FD-CEAB-40E6-9C3E-DFAA79704D70}"/>
    <cellStyle name="Normal 5 3 3 4 4 2 2 3" xfId="16698" xr:uid="{CEA12B0D-3606-448D-B131-3BF001AD1E59}"/>
    <cellStyle name="Normal 5 3 3 4 4 2 3" xfId="20921" xr:uid="{DD344652-21CF-4EC6-A452-E33A6ADF1D4B}"/>
    <cellStyle name="Normal 5 3 3 4 4 2 4" xfId="12479" xr:uid="{E6797506-BC8F-4610-913A-C1D884F9F983}"/>
    <cellStyle name="Normal 5 3 3 4 4 3" xfId="6059" xr:uid="{00000000-0005-0000-0000-0000FA190000}"/>
    <cellStyle name="Normal 5 3 3 4 4 3 2" xfId="22994" xr:uid="{45B1F46E-0E77-4121-B691-BFC3F0410571}"/>
    <cellStyle name="Normal 5 3 3 4 4 3 3" xfId="14553" xr:uid="{BC8F3F71-0A7F-4940-B864-E5498E8A4B94}"/>
    <cellStyle name="Normal 5 3 3 4 4 4" xfId="18776" xr:uid="{40883DBC-DBB9-42E5-9040-442A59C3A3D7}"/>
    <cellStyle name="Normal 5 3 3 4 4 5" xfId="10302" xr:uid="{D9EF9251-EB03-43B5-ABBD-76017738891B}"/>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5552" xr:uid="{85DD2F6C-FE7A-478D-A4A8-7AE36391C4B7}"/>
    <cellStyle name="Normal 5 3 3 4 5 2 2 3" xfId="17111" xr:uid="{E31B0FA9-AEBC-4995-9AA1-E77B9B1FD5C2}"/>
    <cellStyle name="Normal 5 3 3 4 5 2 3" xfId="21334" xr:uid="{A685DAFB-208A-4845-8566-ABB6C2BB4391}"/>
    <cellStyle name="Normal 5 3 3 4 5 2 4" xfId="12892" xr:uid="{C0FF4012-AEB6-4347-AD5F-AC636A092F79}"/>
    <cellStyle name="Normal 5 3 3 4 5 3" xfId="6472" xr:uid="{00000000-0005-0000-0000-0000FE190000}"/>
    <cellStyle name="Normal 5 3 3 4 5 3 2" xfId="23407" xr:uid="{F21847AB-03FC-4818-A899-6801B5544891}"/>
    <cellStyle name="Normal 5 3 3 4 5 3 3" xfId="14966" xr:uid="{12B4F153-2E37-4E37-AF1B-D3E055C8622E}"/>
    <cellStyle name="Normal 5 3 3 4 5 4" xfId="19189" xr:uid="{91D1C965-E086-45F7-A27A-CB7D92C1B456}"/>
    <cellStyle name="Normal 5 3 3 4 5 5" xfId="10715" xr:uid="{FD150FF0-8247-42D8-A2CB-75A4027B3EA9}"/>
    <cellStyle name="Normal 5 3 3 4 6" xfId="2602" xr:uid="{00000000-0005-0000-0000-0000FF190000}"/>
    <cellStyle name="Normal 5 3 3 4 6 2" xfId="6885" xr:uid="{00000000-0005-0000-0000-0000001A0000}"/>
    <cellStyle name="Normal 5 3 3 4 6 2 2" xfId="23820" xr:uid="{D086D0D8-80B4-46A3-9C10-257A4A24989E}"/>
    <cellStyle name="Normal 5 3 3 4 6 2 3" xfId="15379" xr:uid="{5DA41479-C245-4A12-B3D4-C4982D39496A}"/>
    <cellStyle name="Normal 5 3 3 4 6 3" xfId="19602" xr:uid="{E92047EE-227F-4413-A39F-1AED3A347BE9}"/>
    <cellStyle name="Normal 5 3 3 4 6 4" xfId="11150" xr:uid="{64B1D0AF-69FA-40C6-BBCB-96C234D9F749}"/>
    <cellStyle name="Normal 5 3 3 4 7" xfId="4820" xr:uid="{00000000-0005-0000-0000-0000011A0000}"/>
    <cellStyle name="Normal 5 3 3 4 7 2" xfId="21755" xr:uid="{019A26EE-8EFA-4C4D-9A7B-45166CED3AA6}"/>
    <cellStyle name="Normal 5 3 3 4 7 3" xfId="13314" xr:uid="{688E03DE-3BD0-41F7-B12C-6F0D53F8DA9F}"/>
    <cellStyle name="Normal 5 3 3 4 8" xfId="17537" xr:uid="{0C64FB1D-04AE-4934-ACEA-674717C1BC0D}"/>
    <cellStyle name="Normal 5 3 3 4 9" xfId="9062" xr:uid="{60EE2A10-F282-4490-A52E-DCC0CE2A7F51}"/>
    <cellStyle name="Normal 5 3 3 5" xfId="915" xr:uid="{00000000-0005-0000-0000-0000021A0000}"/>
    <cellStyle name="Normal 5 3 3 5 2" xfId="3149" xr:uid="{00000000-0005-0000-0000-0000031A0000}"/>
    <cellStyle name="Normal 5 3 3 5 2 2" xfId="7371" xr:uid="{00000000-0005-0000-0000-0000041A0000}"/>
    <cellStyle name="Normal 5 3 3 5 2 2 2" xfId="24306" xr:uid="{19F2D62C-43B1-43A0-8CF3-45A8655DF00E}"/>
    <cellStyle name="Normal 5 3 3 5 2 2 3" xfId="15865" xr:uid="{3AA06100-C792-4743-B851-A1D2084AB5F0}"/>
    <cellStyle name="Normal 5 3 3 5 2 3" xfId="20088" xr:uid="{52034F0B-F014-4AD7-A8B4-C7F209E8CB60}"/>
    <cellStyle name="Normal 5 3 3 5 2 4" xfId="11646" xr:uid="{ABA5C133-E2C4-4FA8-BF89-AFF798A2A3FF}"/>
    <cellStyle name="Normal 5 3 3 5 3" xfId="5226" xr:uid="{00000000-0005-0000-0000-0000051A0000}"/>
    <cellStyle name="Normal 5 3 3 5 3 2" xfId="22161" xr:uid="{182E50E4-441F-44D6-851F-CF3A6099D1BE}"/>
    <cellStyle name="Normal 5 3 3 5 3 3" xfId="13720" xr:uid="{B5A67359-5595-4130-BFE8-A2E8BF5BD383}"/>
    <cellStyle name="Normal 5 3 3 5 4" xfId="17943" xr:uid="{A8B30CD6-333A-40C4-8EA7-8877B237621B}"/>
    <cellStyle name="Normal 5 3 3 5 5" xfId="9469" xr:uid="{6C88B719-A861-4B69-9E5E-0871D04CCCA5}"/>
    <cellStyle name="Normal 5 3 3 6" xfId="1332" xr:uid="{00000000-0005-0000-0000-0000061A0000}"/>
    <cellStyle name="Normal 5 3 3 6 2" xfId="3562" xr:uid="{00000000-0005-0000-0000-0000071A0000}"/>
    <cellStyle name="Normal 5 3 3 6 2 2" xfId="7784" xr:uid="{00000000-0005-0000-0000-0000081A0000}"/>
    <cellStyle name="Normal 5 3 3 6 2 2 2" xfId="24719" xr:uid="{D4CA9B33-D87A-4B00-A7FD-37D29AA9ABC6}"/>
    <cellStyle name="Normal 5 3 3 6 2 2 3" xfId="16278" xr:uid="{1A823C24-CF2E-47AD-98CF-271E6A4600B4}"/>
    <cellStyle name="Normal 5 3 3 6 2 3" xfId="20501" xr:uid="{7664522F-0EC1-4FA6-8C48-B1E2E66B3913}"/>
    <cellStyle name="Normal 5 3 3 6 2 4" xfId="12059" xr:uid="{AF58D560-0952-429C-A9BE-A6E17FF2F894}"/>
    <cellStyle name="Normal 5 3 3 6 3" xfId="5639" xr:uid="{00000000-0005-0000-0000-0000091A0000}"/>
    <cellStyle name="Normal 5 3 3 6 3 2" xfId="22574" xr:uid="{EB7E9646-4E17-49AD-9D53-5F84F4473EA9}"/>
    <cellStyle name="Normal 5 3 3 6 3 3" xfId="14133" xr:uid="{F77E16FA-C244-4EE2-A01C-432224C428C1}"/>
    <cellStyle name="Normal 5 3 3 6 4" xfId="18356" xr:uid="{C33DB11F-776A-4BCD-B7B5-B59354D8E406}"/>
    <cellStyle name="Normal 5 3 3 6 5" xfId="9882" xr:uid="{CA759F3A-65D9-46E7-8F90-09FD54864636}"/>
    <cellStyle name="Normal 5 3 3 7" xfId="1745" xr:uid="{00000000-0005-0000-0000-00000A1A0000}"/>
    <cellStyle name="Normal 5 3 3 7 2" xfId="3975" xr:uid="{00000000-0005-0000-0000-00000B1A0000}"/>
    <cellStyle name="Normal 5 3 3 7 2 2" xfId="8197" xr:uid="{00000000-0005-0000-0000-00000C1A0000}"/>
    <cellStyle name="Normal 5 3 3 7 2 2 2" xfId="25132" xr:uid="{A41347CF-A3E9-4696-A1DD-95AA25C8E9C0}"/>
    <cellStyle name="Normal 5 3 3 7 2 2 3" xfId="16691" xr:uid="{C015E0F9-FABA-4893-B44C-A02751713F6B}"/>
    <cellStyle name="Normal 5 3 3 7 2 3" xfId="20914" xr:uid="{CE8E9562-F18D-4EE0-9149-15003A465AF8}"/>
    <cellStyle name="Normal 5 3 3 7 2 4" xfId="12472" xr:uid="{E0197E98-03BA-4EFC-BB4B-B51167BA424E}"/>
    <cellStyle name="Normal 5 3 3 7 3" xfId="6052" xr:uid="{00000000-0005-0000-0000-00000D1A0000}"/>
    <cellStyle name="Normal 5 3 3 7 3 2" xfId="22987" xr:uid="{76FDF6E7-8B74-43FD-849D-8B160505FCFF}"/>
    <cellStyle name="Normal 5 3 3 7 3 3" xfId="14546" xr:uid="{1AACC5BD-5405-4CD8-A704-096A2FC620F4}"/>
    <cellStyle name="Normal 5 3 3 7 4" xfId="18769" xr:uid="{756ABFC3-B28B-4E3F-8A97-8B85F8E08F7B}"/>
    <cellStyle name="Normal 5 3 3 7 5" xfId="10295" xr:uid="{2C53CD73-EDA5-41EC-BA96-C1BADF0C9513}"/>
    <cellStyle name="Normal 5 3 3 8" xfId="2159" xr:uid="{00000000-0005-0000-0000-00000E1A0000}"/>
    <cellStyle name="Normal 5 3 3 8 2" xfId="4388" xr:uid="{00000000-0005-0000-0000-00000F1A0000}"/>
    <cellStyle name="Normal 5 3 3 8 2 2" xfId="8610" xr:uid="{00000000-0005-0000-0000-0000101A0000}"/>
    <cellStyle name="Normal 5 3 3 8 2 2 2" xfId="25545" xr:uid="{7ED12095-25EE-449E-8D88-76C88F9A4918}"/>
    <cellStyle name="Normal 5 3 3 8 2 2 3" xfId="17104" xr:uid="{BDCB279D-E7CB-491C-8C13-B5365729F94C}"/>
    <cellStyle name="Normal 5 3 3 8 2 3" xfId="21327" xr:uid="{476C5390-8A9F-465C-BBCC-E2A616B37A05}"/>
    <cellStyle name="Normal 5 3 3 8 2 4" xfId="12885" xr:uid="{7473D41B-43AB-419D-A300-D7E22266415D}"/>
    <cellStyle name="Normal 5 3 3 8 3" xfId="6465" xr:uid="{00000000-0005-0000-0000-0000111A0000}"/>
    <cellStyle name="Normal 5 3 3 8 3 2" xfId="23400" xr:uid="{DF8DEB24-F060-4253-BB7F-61DC9381A237}"/>
    <cellStyle name="Normal 5 3 3 8 3 3" xfId="14959" xr:uid="{018F7484-C4B8-432F-9CC1-8BB9812D602D}"/>
    <cellStyle name="Normal 5 3 3 8 4" xfId="19182" xr:uid="{A7AAC200-B525-4F27-835A-C0DF261C6D38}"/>
    <cellStyle name="Normal 5 3 3 8 5" xfId="10708" xr:uid="{6C138A66-CF87-495F-9746-A1A7B9A1A836}"/>
    <cellStyle name="Normal 5 3 3 9" xfId="2595" xr:uid="{00000000-0005-0000-0000-0000121A0000}"/>
    <cellStyle name="Normal 5 3 3 9 2" xfId="6878" xr:uid="{00000000-0005-0000-0000-0000131A0000}"/>
    <cellStyle name="Normal 5 3 3 9 2 2" xfId="23813" xr:uid="{EE15A89D-932E-4339-A51B-AE8472C83779}"/>
    <cellStyle name="Normal 5 3 3 9 2 3" xfId="15372" xr:uid="{1444ADC6-A8F2-4031-83E7-6FEB45BFDC82}"/>
    <cellStyle name="Normal 5 3 3 9 3" xfId="19595" xr:uid="{0734E92E-9023-4930-B682-1B4211A536EA}"/>
    <cellStyle name="Normal 5 3 3 9 4" xfId="11143" xr:uid="{9567C158-7AF5-4FFB-8313-F0A5E9DF150E}"/>
    <cellStyle name="Normal 5 3 4" xfId="449" xr:uid="{00000000-0005-0000-0000-0000141A0000}"/>
    <cellStyle name="Normal 5 3 4 10" xfId="17538" xr:uid="{F4239D97-B9E9-4196-91C7-7AEC790AC2BD}"/>
    <cellStyle name="Normal 5 3 4 11" xfId="9063" xr:uid="{761C3259-77D9-4FB1-9F48-80C731D16F25}"/>
    <cellStyle name="Normal 5 3 4 2" xfId="450" xr:uid="{00000000-0005-0000-0000-0000151A0000}"/>
    <cellStyle name="Normal 5 3 4 2 10" xfId="9064" xr:uid="{C3D395E7-2A04-439A-99DB-CD9A75540261}"/>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4316" xr:uid="{B139F554-CD4F-421F-BEF3-547636959268}"/>
    <cellStyle name="Normal 5 3 4 2 2 2 2 2 3" xfId="15875" xr:uid="{5BA8B327-065F-42C2-B8D1-FDCD772F996F}"/>
    <cellStyle name="Normal 5 3 4 2 2 2 2 3" xfId="20098" xr:uid="{B36D4251-6560-4C03-97F1-DA97207E9886}"/>
    <cellStyle name="Normal 5 3 4 2 2 2 2 4" xfId="11656" xr:uid="{0D9194C9-0146-4C0B-A104-F831D032D79E}"/>
    <cellStyle name="Normal 5 3 4 2 2 2 3" xfId="5236" xr:uid="{00000000-0005-0000-0000-00001A1A0000}"/>
    <cellStyle name="Normal 5 3 4 2 2 2 3 2" xfId="22171" xr:uid="{731B4F08-E509-4F2C-905D-6991C5F7997E}"/>
    <cellStyle name="Normal 5 3 4 2 2 2 3 3" xfId="13730" xr:uid="{5D44C238-39A7-45E8-9C10-6EEFD0534205}"/>
    <cellStyle name="Normal 5 3 4 2 2 2 4" xfId="17953" xr:uid="{09F88BC5-9E17-403C-BCFF-6009B49A1F15}"/>
    <cellStyle name="Normal 5 3 4 2 2 2 5" xfId="9479" xr:uid="{09C47C9B-55A7-42EC-B5AF-C490F467BEFD}"/>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4729" xr:uid="{E507922B-CD99-4116-8439-2F7679CE61B6}"/>
    <cellStyle name="Normal 5 3 4 2 2 3 2 2 3" xfId="16288" xr:uid="{8BF9F646-DF38-4751-AB80-AAEF2F65B8C7}"/>
    <cellStyle name="Normal 5 3 4 2 2 3 2 3" xfId="20511" xr:uid="{94AF8D34-7A6F-4718-97D6-918C7BD0AA25}"/>
    <cellStyle name="Normal 5 3 4 2 2 3 2 4" xfId="12069" xr:uid="{FB1E4DF5-39A5-4BAD-BBA4-876EBB1C9052}"/>
    <cellStyle name="Normal 5 3 4 2 2 3 3" xfId="5649" xr:uid="{00000000-0005-0000-0000-00001E1A0000}"/>
    <cellStyle name="Normal 5 3 4 2 2 3 3 2" xfId="22584" xr:uid="{239CC7C8-4120-4B95-99EF-5EB126938CC6}"/>
    <cellStyle name="Normal 5 3 4 2 2 3 3 3" xfId="14143" xr:uid="{23938D4C-B28A-4CB8-9873-17B26AE60AE4}"/>
    <cellStyle name="Normal 5 3 4 2 2 3 4" xfId="18366" xr:uid="{AD0FB5EE-63E0-4395-B3E3-841C857E3AB0}"/>
    <cellStyle name="Normal 5 3 4 2 2 3 5" xfId="9892" xr:uid="{0EB23B1B-72C8-461C-9F6B-B75E480467E2}"/>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142" xr:uid="{C78D0072-2317-49B6-A3E7-82B5E86A968A}"/>
    <cellStyle name="Normal 5 3 4 2 2 4 2 2 3" xfId="16701" xr:uid="{A05A6A77-6B7B-4345-9250-AEDFF7700D8F}"/>
    <cellStyle name="Normal 5 3 4 2 2 4 2 3" xfId="20924" xr:uid="{17B5E472-1E53-42B0-9CE9-861DC8A2D871}"/>
    <cellStyle name="Normal 5 3 4 2 2 4 2 4" xfId="12482" xr:uid="{2030DEFE-739D-4A23-9F66-46CAF531A5A7}"/>
    <cellStyle name="Normal 5 3 4 2 2 4 3" xfId="6062" xr:uid="{00000000-0005-0000-0000-0000221A0000}"/>
    <cellStyle name="Normal 5 3 4 2 2 4 3 2" xfId="22997" xr:uid="{80B8A5AC-1DA4-4EDF-BE01-177E2F460B2A}"/>
    <cellStyle name="Normal 5 3 4 2 2 4 3 3" xfId="14556" xr:uid="{7FBC57C7-25D2-47C6-892B-A046FE1CD747}"/>
    <cellStyle name="Normal 5 3 4 2 2 4 4" xfId="18779" xr:uid="{FF06D290-D6CE-4B44-B27D-750A5918EBF9}"/>
    <cellStyle name="Normal 5 3 4 2 2 4 5" xfId="10305" xr:uid="{44958AD4-9869-4AE8-86E1-655812F5E036}"/>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5555" xr:uid="{947C8DA5-C47B-4496-8FFB-C3EA9C0F10D2}"/>
    <cellStyle name="Normal 5 3 4 2 2 5 2 2 3" xfId="17114" xr:uid="{A3DC6F58-4365-473A-B213-C9309F1DF845}"/>
    <cellStyle name="Normal 5 3 4 2 2 5 2 3" xfId="21337" xr:uid="{0098788E-ECCF-4BEA-BB73-F5C1F254CDAF}"/>
    <cellStyle name="Normal 5 3 4 2 2 5 2 4" xfId="12895" xr:uid="{AA0B9090-E8DC-4FC7-8A7A-C0A0782028E0}"/>
    <cellStyle name="Normal 5 3 4 2 2 5 3" xfId="6475" xr:uid="{00000000-0005-0000-0000-0000261A0000}"/>
    <cellStyle name="Normal 5 3 4 2 2 5 3 2" xfId="23410" xr:uid="{E1A7C64C-C16C-4698-8D05-6D52C4CA87CB}"/>
    <cellStyle name="Normal 5 3 4 2 2 5 3 3" xfId="14969" xr:uid="{5749457B-745F-4C04-B3D1-D615E53D7ECF}"/>
    <cellStyle name="Normal 5 3 4 2 2 5 4" xfId="19192" xr:uid="{F010FF18-9CB4-43BA-B0E6-F57866835476}"/>
    <cellStyle name="Normal 5 3 4 2 2 5 5" xfId="10718" xr:uid="{20FF307B-D1E8-43D2-8FE4-F67260D8402B}"/>
    <cellStyle name="Normal 5 3 4 2 2 6" xfId="2605" xr:uid="{00000000-0005-0000-0000-0000271A0000}"/>
    <cellStyle name="Normal 5 3 4 2 2 6 2" xfId="6888" xr:uid="{00000000-0005-0000-0000-0000281A0000}"/>
    <cellStyle name="Normal 5 3 4 2 2 6 2 2" xfId="23823" xr:uid="{F91BDEBF-ACB7-4F58-91A9-E35F69D1FE4A}"/>
    <cellStyle name="Normal 5 3 4 2 2 6 2 3" xfId="15382" xr:uid="{8F338D43-F793-41E8-92AA-9AF17F00E73E}"/>
    <cellStyle name="Normal 5 3 4 2 2 6 3" xfId="19605" xr:uid="{A16E91A8-2F09-4DA9-B3B9-5CF2D15DDDFA}"/>
    <cellStyle name="Normal 5 3 4 2 2 6 4" xfId="11153" xr:uid="{E303477F-9F94-4460-AD08-46E0B83EA4CB}"/>
    <cellStyle name="Normal 5 3 4 2 2 7" xfId="4823" xr:uid="{00000000-0005-0000-0000-0000291A0000}"/>
    <cellStyle name="Normal 5 3 4 2 2 7 2" xfId="21758" xr:uid="{ABED7BCA-43FF-4B07-B552-0B206F0D4BC6}"/>
    <cellStyle name="Normal 5 3 4 2 2 7 3" xfId="13317" xr:uid="{4F56AB66-A03B-4E2B-A822-E3008EA96F45}"/>
    <cellStyle name="Normal 5 3 4 2 2 8" xfId="17540" xr:uid="{13B6953A-A31C-49C2-9F50-22A7DE7CB73F}"/>
    <cellStyle name="Normal 5 3 4 2 2 9" xfId="9065" xr:uid="{707B11F8-1F61-43C9-965B-5E540A12F534}"/>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4315" xr:uid="{71867E75-A8FA-4291-9A4E-8147A7B45791}"/>
    <cellStyle name="Normal 5 3 4 2 3 2 2 3" xfId="15874" xr:uid="{B6C236CC-7EFB-49E0-8BBB-22CA9156B71E}"/>
    <cellStyle name="Normal 5 3 4 2 3 2 3" xfId="20097" xr:uid="{D9EC121F-6A41-44FE-AFA8-6F6E2623E8CB}"/>
    <cellStyle name="Normal 5 3 4 2 3 2 4" xfId="11655" xr:uid="{DAA704C9-513A-41ED-8B03-EBFFE3E90B8E}"/>
    <cellStyle name="Normal 5 3 4 2 3 3" xfId="5235" xr:uid="{00000000-0005-0000-0000-00002D1A0000}"/>
    <cellStyle name="Normal 5 3 4 2 3 3 2" xfId="22170" xr:uid="{02A7EF0D-3DAD-416F-9712-C8CE330DF02B}"/>
    <cellStyle name="Normal 5 3 4 2 3 3 3" xfId="13729" xr:uid="{32AB4F3B-546B-4870-ADC1-19FD457F94CC}"/>
    <cellStyle name="Normal 5 3 4 2 3 4" xfId="17952" xr:uid="{113B3176-9A93-47B4-B542-4FF8A24BF936}"/>
    <cellStyle name="Normal 5 3 4 2 3 5" xfId="9478" xr:uid="{C462AE98-37A3-4D20-841D-B8806A8DA30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4728" xr:uid="{CB3930C8-C168-4CA2-AD7D-B1E2BA648464}"/>
    <cellStyle name="Normal 5 3 4 2 4 2 2 3" xfId="16287" xr:uid="{430DC4AD-9DDD-4D1A-AA34-78500FFB4FE6}"/>
    <cellStyle name="Normal 5 3 4 2 4 2 3" xfId="20510" xr:uid="{97EACCAB-488C-4193-8095-D0AC6AA36BB0}"/>
    <cellStyle name="Normal 5 3 4 2 4 2 4" xfId="12068" xr:uid="{30762C9D-AF2F-4726-8BE0-A3F4FDB377BF}"/>
    <cellStyle name="Normal 5 3 4 2 4 3" xfId="5648" xr:uid="{00000000-0005-0000-0000-0000311A0000}"/>
    <cellStyle name="Normal 5 3 4 2 4 3 2" xfId="22583" xr:uid="{3E80E65B-CFCD-42AE-AD1B-5B2DE4E3D577}"/>
    <cellStyle name="Normal 5 3 4 2 4 3 3" xfId="14142" xr:uid="{1C3F78D8-7EF6-460F-AB0D-7908A2B3158B}"/>
    <cellStyle name="Normal 5 3 4 2 4 4" xfId="18365" xr:uid="{CEB3F078-3758-45D0-A51F-FA2577CADCDF}"/>
    <cellStyle name="Normal 5 3 4 2 4 5" xfId="9891" xr:uid="{CCA92C9D-4AEC-45B0-9F5D-A84AD9D55E29}"/>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141" xr:uid="{4E34CC5B-6891-48E5-87D6-883AAE07DF39}"/>
    <cellStyle name="Normal 5 3 4 2 5 2 2 3" xfId="16700" xr:uid="{52806D96-6CE5-4959-8252-14F8CAF90CE3}"/>
    <cellStyle name="Normal 5 3 4 2 5 2 3" xfId="20923" xr:uid="{E9176837-C22C-4579-8964-FC0409D9989B}"/>
    <cellStyle name="Normal 5 3 4 2 5 2 4" xfId="12481" xr:uid="{EA78EBD4-2628-4354-8E25-FA4D384F44E9}"/>
    <cellStyle name="Normal 5 3 4 2 5 3" xfId="6061" xr:uid="{00000000-0005-0000-0000-0000351A0000}"/>
    <cellStyle name="Normal 5 3 4 2 5 3 2" xfId="22996" xr:uid="{29FAC923-5990-420C-8EA9-C1B82B824D71}"/>
    <cellStyle name="Normal 5 3 4 2 5 3 3" xfId="14555" xr:uid="{0E6CE459-2D56-447E-9BCE-2DE569A9BB62}"/>
    <cellStyle name="Normal 5 3 4 2 5 4" xfId="18778" xr:uid="{00981379-AAC2-4B4C-8B04-DFF23E869F1B}"/>
    <cellStyle name="Normal 5 3 4 2 5 5" xfId="10304" xr:uid="{7066047E-9938-4C42-9DD3-514DD3DC81DC}"/>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5554" xr:uid="{2A6C6594-E313-4B79-A2E7-B99D2E52D0B0}"/>
    <cellStyle name="Normal 5 3 4 2 6 2 2 3" xfId="17113" xr:uid="{87D52C70-03A6-4008-961C-26B7F8D03531}"/>
    <cellStyle name="Normal 5 3 4 2 6 2 3" xfId="21336" xr:uid="{AF94DE38-21DF-4534-A6BF-B8C68847264E}"/>
    <cellStyle name="Normal 5 3 4 2 6 2 4" xfId="12894" xr:uid="{DCE2EC91-5AE0-4260-9BD1-FA2568B905A0}"/>
    <cellStyle name="Normal 5 3 4 2 6 3" xfId="6474" xr:uid="{00000000-0005-0000-0000-0000391A0000}"/>
    <cellStyle name="Normal 5 3 4 2 6 3 2" xfId="23409" xr:uid="{43D08696-DFF7-410C-BFF9-72BD938167A0}"/>
    <cellStyle name="Normal 5 3 4 2 6 3 3" xfId="14968" xr:uid="{8932841C-C3BD-4050-A85C-F0D88573EADE}"/>
    <cellStyle name="Normal 5 3 4 2 6 4" xfId="19191" xr:uid="{097432ED-9023-4501-B58F-522AF11ABBEE}"/>
    <cellStyle name="Normal 5 3 4 2 6 5" xfId="10717" xr:uid="{1862FA56-32DA-4085-801D-1A7EE57C4567}"/>
    <cellStyle name="Normal 5 3 4 2 7" xfId="2604" xr:uid="{00000000-0005-0000-0000-00003A1A0000}"/>
    <cellStyle name="Normal 5 3 4 2 7 2" xfId="6887" xr:uid="{00000000-0005-0000-0000-00003B1A0000}"/>
    <cellStyle name="Normal 5 3 4 2 7 2 2" xfId="23822" xr:uid="{2593DBA9-1315-4813-9A7C-2065A812DA18}"/>
    <cellStyle name="Normal 5 3 4 2 7 2 3" xfId="15381" xr:uid="{ADCE7D06-C4C8-49D8-AD78-8228C0CEC319}"/>
    <cellStyle name="Normal 5 3 4 2 7 3" xfId="19604" xr:uid="{318E7DE1-6B61-4E8F-A9C4-75C9762FA2BB}"/>
    <cellStyle name="Normal 5 3 4 2 7 4" xfId="11152" xr:uid="{B1B7F576-3D62-47A4-B6AE-C13AB1765448}"/>
    <cellStyle name="Normal 5 3 4 2 8" xfId="4822" xr:uid="{00000000-0005-0000-0000-00003C1A0000}"/>
    <cellStyle name="Normal 5 3 4 2 8 2" xfId="21757" xr:uid="{70836037-55B8-402E-99A4-96514F431DD5}"/>
    <cellStyle name="Normal 5 3 4 2 8 3" xfId="13316" xr:uid="{6C92CAAD-116E-47EC-A0ED-8FAFAE7ADE14}"/>
    <cellStyle name="Normal 5 3 4 2 9" xfId="17539" xr:uid="{1D3F96A9-5E79-4B39-8125-C7612E995BB6}"/>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4317" xr:uid="{0E324611-09E5-468F-9363-54E8B9EBF20E}"/>
    <cellStyle name="Normal 5 3 4 3 2 2 2 3" xfId="15876" xr:uid="{0F665940-C2F1-4E5C-8494-F69BA4820AEB}"/>
    <cellStyle name="Normal 5 3 4 3 2 2 3" xfId="20099" xr:uid="{86EF36A3-465D-472D-BEA9-C61A2C19F43C}"/>
    <cellStyle name="Normal 5 3 4 3 2 2 4" xfId="11657" xr:uid="{787A723B-6636-41AF-B51C-A072D6FCAAAD}"/>
    <cellStyle name="Normal 5 3 4 3 2 3" xfId="5237" xr:uid="{00000000-0005-0000-0000-0000411A0000}"/>
    <cellStyle name="Normal 5 3 4 3 2 3 2" xfId="22172" xr:uid="{83EF6871-3706-4569-A5DD-D981EEF522BA}"/>
    <cellStyle name="Normal 5 3 4 3 2 3 3" xfId="13731" xr:uid="{2D092951-C8C9-4A5E-93D0-C88AD39428CE}"/>
    <cellStyle name="Normal 5 3 4 3 2 4" xfId="17954" xr:uid="{9EF8F0C2-EC4D-4A5C-9E3F-1661461E6162}"/>
    <cellStyle name="Normal 5 3 4 3 2 5" xfId="9480" xr:uid="{54F88D7D-970F-4A7A-8BE3-66ECDA02A742}"/>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4730" xr:uid="{F4C21191-31F5-4BA7-886B-59C25FBE6608}"/>
    <cellStyle name="Normal 5 3 4 3 3 2 2 3" xfId="16289" xr:uid="{3915896B-FB22-4B07-AF95-3AD723936986}"/>
    <cellStyle name="Normal 5 3 4 3 3 2 3" xfId="20512" xr:uid="{E6147391-37F3-4540-96A8-CFF4E23A06E8}"/>
    <cellStyle name="Normal 5 3 4 3 3 2 4" xfId="12070" xr:uid="{87CA325F-CE87-47AE-9455-6D056E2B8AC3}"/>
    <cellStyle name="Normal 5 3 4 3 3 3" xfId="5650" xr:uid="{00000000-0005-0000-0000-0000451A0000}"/>
    <cellStyle name="Normal 5 3 4 3 3 3 2" xfId="22585" xr:uid="{ED5253A4-1585-4E64-8A1F-B5B5AB622A02}"/>
    <cellStyle name="Normal 5 3 4 3 3 3 3" xfId="14144" xr:uid="{AAE71AD3-E8D1-429E-AA36-0228E505BDB7}"/>
    <cellStyle name="Normal 5 3 4 3 3 4" xfId="18367" xr:uid="{BFC849D6-2AB4-4C8F-BDE2-320398807268}"/>
    <cellStyle name="Normal 5 3 4 3 3 5" xfId="9893" xr:uid="{1782FF39-409C-418E-A6B9-3FD937B2611D}"/>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143" xr:uid="{4AAC8211-5352-4C61-A305-BBAB51BA85EA}"/>
    <cellStyle name="Normal 5 3 4 3 4 2 2 3" xfId="16702" xr:uid="{D1E6078F-64C8-457B-9924-1F09F97BCF3C}"/>
    <cellStyle name="Normal 5 3 4 3 4 2 3" xfId="20925" xr:uid="{273FFC38-42CC-49C8-ABBA-F48164347E53}"/>
    <cellStyle name="Normal 5 3 4 3 4 2 4" xfId="12483" xr:uid="{B4FFBFF9-1B3C-4241-8787-BD811C74A120}"/>
    <cellStyle name="Normal 5 3 4 3 4 3" xfId="6063" xr:uid="{00000000-0005-0000-0000-0000491A0000}"/>
    <cellStyle name="Normal 5 3 4 3 4 3 2" xfId="22998" xr:uid="{D2BEB50F-FB45-4D6C-9DB5-EC93DA964536}"/>
    <cellStyle name="Normal 5 3 4 3 4 3 3" xfId="14557" xr:uid="{E3DEC762-E0BA-4969-AEAE-E71B3AB78B2A}"/>
    <cellStyle name="Normal 5 3 4 3 4 4" xfId="18780" xr:uid="{B2A7B5FF-0C30-42B8-8EFF-59453F7EBFC6}"/>
    <cellStyle name="Normal 5 3 4 3 4 5" xfId="10306" xr:uid="{EC6A8BBC-6DA1-47E2-BB3E-F04008A6150E}"/>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5556" xr:uid="{F6B2B476-F9C5-43A4-A24B-02E0C4504C02}"/>
    <cellStyle name="Normal 5 3 4 3 5 2 2 3" xfId="17115" xr:uid="{3C68074E-7E12-4938-AE97-0B039387D300}"/>
    <cellStyle name="Normal 5 3 4 3 5 2 3" xfId="21338" xr:uid="{6A025C3E-4357-4030-ACCD-9DF18C897770}"/>
    <cellStyle name="Normal 5 3 4 3 5 2 4" xfId="12896" xr:uid="{032911D3-48B0-4A53-B75B-564B38C4FBFE}"/>
    <cellStyle name="Normal 5 3 4 3 5 3" xfId="6476" xr:uid="{00000000-0005-0000-0000-00004D1A0000}"/>
    <cellStyle name="Normal 5 3 4 3 5 3 2" xfId="23411" xr:uid="{3C12694E-92BA-49A6-A190-EF0C8830946D}"/>
    <cellStyle name="Normal 5 3 4 3 5 3 3" xfId="14970" xr:uid="{1097418B-D118-4B9B-AC61-51B70BCBB048}"/>
    <cellStyle name="Normal 5 3 4 3 5 4" xfId="19193" xr:uid="{75B7C7C4-E9CC-432C-AD9E-3B052C7AC8FD}"/>
    <cellStyle name="Normal 5 3 4 3 5 5" xfId="10719" xr:uid="{8E916A92-ADA2-41A5-A76B-F5C6EBF96FAB}"/>
    <cellStyle name="Normal 5 3 4 3 6" xfId="2606" xr:uid="{00000000-0005-0000-0000-00004E1A0000}"/>
    <cellStyle name="Normal 5 3 4 3 6 2" xfId="6889" xr:uid="{00000000-0005-0000-0000-00004F1A0000}"/>
    <cellStyle name="Normal 5 3 4 3 6 2 2" xfId="23824" xr:uid="{83A3BCB0-EBF0-4DA3-9ED5-04DFEB1BB066}"/>
    <cellStyle name="Normal 5 3 4 3 6 2 3" xfId="15383" xr:uid="{4FF01715-AFC9-4DD4-9806-941FEDB41C93}"/>
    <cellStyle name="Normal 5 3 4 3 6 3" xfId="19606" xr:uid="{A3AB60AA-0BBC-4B36-B64E-EB9B6A69AB68}"/>
    <cellStyle name="Normal 5 3 4 3 6 4" xfId="11154" xr:uid="{E003EB3B-293D-445F-830E-12D181E1EA48}"/>
    <cellStyle name="Normal 5 3 4 3 7" xfId="4824" xr:uid="{00000000-0005-0000-0000-0000501A0000}"/>
    <cellStyle name="Normal 5 3 4 3 7 2" xfId="21759" xr:uid="{788D58FC-32CA-4E49-9A95-05BD63211284}"/>
    <cellStyle name="Normal 5 3 4 3 7 3" xfId="13318" xr:uid="{98883812-D1A9-4982-8842-6754366C1D00}"/>
    <cellStyle name="Normal 5 3 4 3 8" xfId="17541" xr:uid="{64E749AA-4446-478D-B1A9-DC1F22F8193B}"/>
    <cellStyle name="Normal 5 3 4 3 9" xfId="9066" xr:uid="{FF0F7139-94D0-40E1-B34D-6E87937D3E1A}"/>
    <cellStyle name="Normal 5 3 4 4" xfId="923" xr:uid="{00000000-0005-0000-0000-0000511A0000}"/>
    <cellStyle name="Normal 5 3 4 4 2" xfId="3157" xr:uid="{00000000-0005-0000-0000-0000521A0000}"/>
    <cellStyle name="Normal 5 3 4 4 2 2" xfId="7379" xr:uid="{00000000-0005-0000-0000-0000531A0000}"/>
    <cellStyle name="Normal 5 3 4 4 2 2 2" xfId="24314" xr:uid="{AE703A4E-C417-4FCC-808A-8FF707F51350}"/>
    <cellStyle name="Normal 5 3 4 4 2 2 3" xfId="15873" xr:uid="{E98E2B51-E45A-43A6-A1B6-3A4B2BB58FFE}"/>
    <cellStyle name="Normal 5 3 4 4 2 3" xfId="20096" xr:uid="{80FABEFF-2D12-4E70-BBFE-1BEDD0DDB7DE}"/>
    <cellStyle name="Normal 5 3 4 4 2 4" xfId="11654" xr:uid="{C850E1C7-1349-4257-85F5-307E71C4419F}"/>
    <cellStyle name="Normal 5 3 4 4 3" xfId="5234" xr:uid="{00000000-0005-0000-0000-0000541A0000}"/>
    <cellStyle name="Normal 5 3 4 4 3 2" xfId="22169" xr:uid="{A882F8D4-BE98-41C8-8DB5-560172A7492A}"/>
    <cellStyle name="Normal 5 3 4 4 3 3" xfId="13728" xr:uid="{82E8F730-F7F7-421A-B51B-D12F667F4432}"/>
    <cellStyle name="Normal 5 3 4 4 4" xfId="17951" xr:uid="{E0B505D5-4100-4BAA-836D-386E52A29120}"/>
    <cellStyle name="Normal 5 3 4 4 5" xfId="9477" xr:uid="{ACCA05AE-D505-4758-A433-23DE2A29878A}"/>
    <cellStyle name="Normal 5 3 4 5" xfId="1340" xr:uid="{00000000-0005-0000-0000-0000551A0000}"/>
    <cellStyle name="Normal 5 3 4 5 2" xfId="3570" xr:uid="{00000000-0005-0000-0000-0000561A0000}"/>
    <cellStyle name="Normal 5 3 4 5 2 2" xfId="7792" xr:uid="{00000000-0005-0000-0000-0000571A0000}"/>
    <cellStyle name="Normal 5 3 4 5 2 2 2" xfId="24727" xr:uid="{56BCB61D-C43F-4932-BAF2-D44C67E7C92F}"/>
    <cellStyle name="Normal 5 3 4 5 2 2 3" xfId="16286" xr:uid="{C2C16E32-CBBB-4BDE-B890-E465DCC73D1D}"/>
    <cellStyle name="Normal 5 3 4 5 2 3" xfId="20509" xr:uid="{E8C7E8D4-8420-4BE3-8A4B-8AFDBBFFE6AA}"/>
    <cellStyle name="Normal 5 3 4 5 2 4" xfId="12067" xr:uid="{2CCB1CC4-5421-4229-8FC2-B8F59A5CC81C}"/>
    <cellStyle name="Normal 5 3 4 5 3" xfId="5647" xr:uid="{00000000-0005-0000-0000-0000581A0000}"/>
    <cellStyle name="Normal 5 3 4 5 3 2" xfId="22582" xr:uid="{CCFC200A-DD7F-4162-985D-113722FF434F}"/>
    <cellStyle name="Normal 5 3 4 5 3 3" xfId="14141" xr:uid="{177661B9-0E84-4AAC-83BA-581A56B0D014}"/>
    <cellStyle name="Normal 5 3 4 5 4" xfId="18364" xr:uid="{64A85F7C-BA86-41FF-90C7-504D154B30C1}"/>
    <cellStyle name="Normal 5 3 4 5 5" xfId="9890" xr:uid="{9CBA1C3A-1054-4722-BDC1-B5611A06865F}"/>
    <cellStyle name="Normal 5 3 4 6" xfId="1753" xr:uid="{00000000-0005-0000-0000-0000591A0000}"/>
    <cellStyle name="Normal 5 3 4 6 2" xfId="3983" xr:uid="{00000000-0005-0000-0000-00005A1A0000}"/>
    <cellStyle name="Normal 5 3 4 6 2 2" xfId="8205" xr:uid="{00000000-0005-0000-0000-00005B1A0000}"/>
    <cellStyle name="Normal 5 3 4 6 2 2 2" xfId="25140" xr:uid="{FBA20F22-801E-4F8A-B55C-BC5817173772}"/>
    <cellStyle name="Normal 5 3 4 6 2 2 3" xfId="16699" xr:uid="{8B529624-0AC2-4501-91D3-E2715FD1BA05}"/>
    <cellStyle name="Normal 5 3 4 6 2 3" xfId="20922" xr:uid="{85CC1FC5-038C-4F69-BC28-4CD9BE02883A}"/>
    <cellStyle name="Normal 5 3 4 6 2 4" xfId="12480" xr:uid="{D1937CCF-F6FB-4D2C-A2AD-A1E235649230}"/>
    <cellStyle name="Normal 5 3 4 6 3" xfId="6060" xr:uid="{00000000-0005-0000-0000-00005C1A0000}"/>
    <cellStyle name="Normal 5 3 4 6 3 2" xfId="22995" xr:uid="{EA3827D4-39E6-4451-AAB5-DB2C4B6B4E66}"/>
    <cellStyle name="Normal 5 3 4 6 3 3" xfId="14554" xr:uid="{8486C7FC-D0D3-4CFE-8481-5A09353AD7F0}"/>
    <cellStyle name="Normal 5 3 4 6 4" xfId="18777" xr:uid="{3FDB8442-5FA8-4D8A-974E-F85F253C14A8}"/>
    <cellStyle name="Normal 5 3 4 6 5" xfId="10303" xr:uid="{81FA3F8E-B64E-4290-9BC8-C7F1615C04C0}"/>
    <cellStyle name="Normal 5 3 4 7" xfId="2167" xr:uid="{00000000-0005-0000-0000-00005D1A0000}"/>
    <cellStyle name="Normal 5 3 4 7 2" xfId="4396" xr:uid="{00000000-0005-0000-0000-00005E1A0000}"/>
    <cellStyle name="Normal 5 3 4 7 2 2" xfId="8618" xr:uid="{00000000-0005-0000-0000-00005F1A0000}"/>
    <cellStyle name="Normal 5 3 4 7 2 2 2" xfId="25553" xr:uid="{E52E24E2-8173-42C7-9AB1-4DFCBC3B4100}"/>
    <cellStyle name="Normal 5 3 4 7 2 2 3" xfId="17112" xr:uid="{2546FC13-B242-495C-A175-3BCEA18553F0}"/>
    <cellStyle name="Normal 5 3 4 7 2 3" xfId="21335" xr:uid="{6346633A-848C-459B-B133-C4117FA25FC3}"/>
    <cellStyle name="Normal 5 3 4 7 2 4" xfId="12893" xr:uid="{570FAE5B-3D78-4A58-9892-8E543A9EACD3}"/>
    <cellStyle name="Normal 5 3 4 7 3" xfId="6473" xr:uid="{00000000-0005-0000-0000-0000601A0000}"/>
    <cellStyle name="Normal 5 3 4 7 3 2" xfId="23408" xr:uid="{BDAE2E4C-AD01-4C3B-A324-5792906C6B94}"/>
    <cellStyle name="Normal 5 3 4 7 3 3" xfId="14967" xr:uid="{63ECBCE7-5931-4CC5-AA95-E34EF3058EE9}"/>
    <cellStyle name="Normal 5 3 4 7 4" xfId="19190" xr:uid="{A7AFA543-337B-4911-89E0-65628FC1F2FE}"/>
    <cellStyle name="Normal 5 3 4 7 5" xfId="10716" xr:uid="{184F22D0-7E5F-4E45-BC85-CBD8E4EC34DF}"/>
    <cellStyle name="Normal 5 3 4 8" xfId="2603" xr:uid="{00000000-0005-0000-0000-0000611A0000}"/>
    <cellStyle name="Normal 5 3 4 8 2" xfId="6886" xr:uid="{00000000-0005-0000-0000-0000621A0000}"/>
    <cellStyle name="Normal 5 3 4 8 2 2" xfId="23821" xr:uid="{52457BE4-3152-4233-8D4D-D24F0E3DB999}"/>
    <cellStyle name="Normal 5 3 4 8 2 3" xfId="15380" xr:uid="{387B79D6-BB1D-4CB0-8DA8-21A009CBA001}"/>
    <cellStyle name="Normal 5 3 4 8 3" xfId="19603" xr:uid="{6F113CC3-9B11-408D-A0DF-C4D102F6C00E}"/>
    <cellStyle name="Normal 5 3 4 8 4" xfId="11151" xr:uid="{5BE15C5B-BAA4-4B31-BD39-2D4F9BC83480}"/>
    <cellStyle name="Normal 5 3 4 9" xfId="4821" xr:uid="{00000000-0005-0000-0000-0000631A0000}"/>
    <cellStyle name="Normal 5 3 4 9 2" xfId="21756" xr:uid="{0465674D-5901-4707-9904-E8DE196348D8}"/>
    <cellStyle name="Normal 5 3 4 9 3" xfId="13315" xr:uid="{6DE686DB-C996-404F-B3B0-09AE764FBB72}"/>
    <cellStyle name="Normal 5 3 5" xfId="453" xr:uid="{00000000-0005-0000-0000-0000641A0000}"/>
    <cellStyle name="Normal 5 3 5 10" xfId="9067" xr:uid="{D7D8DA0F-75F4-4B64-B3FE-E75DAE5B3909}"/>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4319" xr:uid="{81D1BBF2-1C6A-469E-96BD-A4A1EABFD1C3}"/>
    <cellStyle name="Normal 5 3 5 2 2 2 2 3" xfId="15878" xr:uid="{32B8A464-C62D-4769-BD6D-F75675F2DB3E}"/>
    <cellStyle name="Normal 5 3 5 2 2 2 3" xfId="20101" xr:uid="{3808BDC4-E6DB-433E-A171-96C665B65505}"/>
    <cellStyle name="Normal 5 3 5 2 2 2 4" xfId="11659" xr:uid="{2EF81322-CD7E-434E-AA8B-198E4AC4373E}"/>
    <cellStyle name="Normal 5 3 5 2 2 3" xfId="5239" xr:uid="{00000000-0005-0000-0000-0000691A0000}"/>
    <cellStyle name="Normal 5 3 5 2 2 3 2" xfId="22174" xr:uid="{FFBF66E7-352E-46C6-AF14-7B231CA53508}"/>
    <cellStyle name="Normal 5 3 5 2 2 3 3" xfId="13733" xr:uid="{4956A527-A248-46C8-B38D-EE2590B54ADF}"/>
    <cellStyle name="Normal 5 3 5 2 2 4" xfId="17956" xr:uid="{D709C489-2527-4A24-A9E1-3D4B98BFEB4A}"/>
    <cellStyle name="Normal 5 3 5 2 2 5" xfId="9482" xr:uid="{5BFFCE21-0F7F-4D2B-A330-F3C14B0507CF}"/>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4732" xr:uid="{413FC34C-90F0-4173-85FF-69ED68E2D336}"/>
    <cellStyle name="Normal 5 3 5 2 3 2 2 3" xfId="16291" xr:uid="{28A350FC-D859-45C9-90F8-B7E793D6971D}"/>
    <cellStyle name="Normal 5 3 5 2 3 2 3" xfId="20514" xr:uid="{484B2728-1243-45FF-BA27-17FB505954D7}"/>
    <cellStyle name="Normal 5 3 5 2 3 2 4" xfId="12072" xr:uid="{298BFF35-D98C-4596-8E77-04DF9EFF401F}"/>
    <cellStyle name="Normal 5 3 5 2 3 3" xfId="5652" xr:uid="{00000000-0005-0000-0000-00006D1A0000}"/>
    <cellStyle name="Normal 5 3 5 2 3 3 2" xfId="22587" xr:uid="{14E494F0-FA74-4353-95C4-3EEE8586E559}"/>
    <cellStyle name="Normal 5 3 5 2 3 3 3" xfId="14146" xr:uid="{603A8545-AC59-44B6-B976-12779DAA08F8}"/>
    <cellStyle name="Normal 5 3 5 2 3 4" xfId="18369" xr:uid="{385A9048-88D7-4C4F-9073-85037552444B}"/>
    <cellStyle name="Normal 5 3 5 2 3 5" xfId="9895" xr:uid="{C8289F9F-CE89-4C6D-936A-12428F2AA22B}"/>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145" xr:uid="{C20E8AD2-B22E-42E5-AFA1-CC854B74D0DD}"/>
    <cellStyle name="Normal 5 3 5 2 4 2 2 3" xfId="16704" xr:uid="{32D38D82-99B3-4D31-BF48-869BE5027BFA}"/>
    <cellStyle name="Normal 5 3 5 2 4 2 3" xfId="20927" xr:uid="{A3C778E4-466D-4D25-8102-30144EBAC27B}"/>
    <cellStyle name="Normal 5 3 5 2 4 2 4" xfId="12485" xr:uid="{04829CA8-E6A4-4181-A2FA-E7EDAB686929}"/>
    <cellStyle name="Normal 5 3 5 2 4 3" xfId="6065" xr:uid="{00000000-0005-0000-0000-0000711A0000}"/>
    <cellStyle name="Normal 5 3 5 2 4 3 2" xfId="23000" xr:uid="{60E033A2-BB2A-4AFC-9F6F-70ECD4A55846}"/>
    <cellStyle name="Normal 5 3 5 2 4 3 3" xfId="14559" xr:uid="{1F72C60A-8F84-4068-A9C0-13E5A1902DED}"/>
    <cellStyle name="Normal 5 3 5 2 4 4" xfId="18782" xr:uid="{D28F410B-47AC-4D05-8080-F5D84385D72A}"/>
    <cellStyle name="Normal 5 3 5 2 4 5" xfId="10308" xr:uid="{3ECAD386-EACC-4775-B5AA-8A605C0CEB11}"/>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5558" xr:uid="{0040A94B-8809-4168-BCAC-BBAD166A9C4D}"/>
    <cellStyle name="Normal 5 3 5 2 5 2 2 3" xfId="17117" xr:uid="{63B21682-5F86-4447-A539-08F72AAD02F4}"/>
    <cellStyle name="Normal 5 3 5 2 5 2 3" xfId="21340" xr:uid="{10B2BBA4-DDBC-49EB-861A-58F040CB47BF}"/>
    <cellStyle name="Normal 5 3 5 2 5 2 4" xfId="12898" xr:uid="{3A912224-6827-4EA2-BAD4-4BCE2E1BC332}"/>
    <cellStyle name="Normal 5 3 5 2 5 3" xfId="6478" xr:uid="{00000000-0005-0000-0000-0000751A0000}"/>
    <cellStyle name="Normal 5 3 5 2 5 3 2" xfId="23413" xr:uid="{5CF0EEF5-8FAA-4566-8637-08BF64766152}"/>
    <cellStyle name="Normal 5 3 5 2 5 3 3" xfId="14972" xr:uid="{3C5AB7B8-6886-41F1-9DBC-8D4494B83987}"/>
    <cellStyle name="Normal 5 3 5 2 5 4" xfId="19195" xr:uid="{2920DEA2-9375-412A-B22C-A10AF2D53A03}"/>
    <cellStyle name="Normal 5 3 5 2 5 5" xfId="10721" xr:uid="{334A1C3E-DCB0-46CE-A6A5-3AAB841A69D2}"/>
    <cellStyle name="Normal 5 3 5 2 6" xfId="2608" xr:uid="{00000000-0005-0000-0000-0000761A0000}"/>
    <cellStyle name="Normal 5 3 5 2 6 2" xfId="6891" xr:uid="{00000000-0005-0000-0000-0000771A0000}"/>
    <cellStyle name="Normal 5 3 5 2 6 2 2" xfId="23826" xr:uid="{60CE0B20-8756-4681-936F-0E5BA6012E03}"/>
    <cellStyle name="Normal 5 3 5 2 6 2 3" xfId="15385" xr:uid="{A19FAC3A-A923-468F-9931-0414F65AF2F2}"/>
    <cellStyle name="Normal 5 3 5 2 6 3" xfId="19608" xr:uid="{381C7B0C-054A-41F0-8ACB-C6D34D79642C}"/>
    <cellStyle name="Normal 5 3 5 2 6 4" xfId="11156" xr:uid="{132A30A6-E252-4129-A82C-5F0961F2DA7C}"/>
    <cellStyle name="Normal 5 3 5 2 7" xfId="4826" xr:uid="{00000000-0005-0000-0000-0000781A0000}"/>
    <cellStyle name="Normal 5 3 5 2 7 2" xfId="21761" xr:uid="{E01F898C-46CA-4CA2-B3FB-8A3F471E2EC0}"/>
    <cellStyle name="Normal 5 3 5 2 7 3" xfId="13320" xr:uid="{0312AE55-11D0-403A-AD5E-C2CB6FB4E843}"/>
    <cellStyle name="Normal 5 3 5 2 8" xfId="17543" xr:uid="{8FC0B991-BB18-4E89-B0FB-1BE656384728}"/>
    <cellStyle name="Normal 5 3 5 2 9" xfId="9068" xr:uid="{D50A4B2F-0546-4326-A66F-84CE9D3E86BB}"/>
    <cellStyle name="Normal 5 3 5 3" xfId="927" xr:uid="{00000000-0005-0000-0000-0000791A0000}"/>
    <cellStyle name="Normal 5 3 5 3 2" xfId="3161" xr:uid="{00000000-0005-0000-0000-00007A1A0000}"/>
    <cellStyle name="Normal 5 3 5 3 2 2" xfId="7383" xr:uid="{00000000-0005-0000-0000-00007B1A0000}"/>
    <cellStyle name="Normal 5 3 5 3 2 2 2" xfId="24318" xr:uid="{B976E8EE-48C4-4F6A-B867-C91930D11603}"/>
    <cellStyle name="Normal 5 3 5 3 2 2 3" xfId="15877" xr:uid="{7BBF5525-7B95-4CFC-BE3D-86BAAB38D00B}"/>
    <cellStyle name="Normal 5 3 5 3 2 3" xfId="20100" xr:uid="{AA5B6FAD-C174-4770-B277-6404BE1830DF}"/>
    <cellStyle name="Normal 5 3 5 3 2 4" xfId="11658" xr:uid="{FCDA1461-A26C-4413-A9AD-44BC0F033B03}"/>
    <cellStyle name="Normal 5 3 5 3 3" xfId="5238" xr:uid="{00000000-0005-0000-0000-00007C1A0000}"/>
    <cellStyle name="Normal 5 3 5 3 3 2" xfId="22173" xr:uid="{A6825C6C-CFF2-4A18-82A1-CDD9A40BEA35}"/>
    <cellStyle name="Normal 5 3 5 3 3 3" xfId="13732" xr:uid="{407F62A5-708F-40B0-A7B4-16245338F93C}"/>
    <cellStyle name="Normal 5 3 5 3 4" xfId="17955" xr:uid="{5B508A75-5119-4442-9868-60675FDDAEAE}"/>
    <cellStyle name="Normal 5 3 5 3 5" xfId="9481" xr:uid="{60A70808-25F2-4102-86B7-9B232FAD57CD}"/>
    <cellStyle name="Normal 5 3 5 4" xfId="1344" xr:uid="{00000000-0005-0000-0000-00007D1A0000}"/>
    <cellStyle name="Normal 5 3 5 4 2" xfId="3574" xr:uid="{00000000-0005-0000-0000-00007E1A0000}"/>
    <cellStyle name="Normal 5 3 5 4 2 2" xfId="7796" xr:uid="{00000000-0005-0000-0000-00007F1A0000}"/>
    <cellStyle name="Normal 5 3 5 4 2 2 2" xfId="24731" xr:uid="{489F3686-42CA-4597-85A8-29D685CCD4F5}"/>
    <cellStyle name="Normal 5 3 5 4 2 2 3" xfId="16290" xr:uid="{493CBC10-5AC0-474B-ADB0-CAAE209B5A9C}"/>
    <cellStyle name="Normal 5 3 5 4 2 3" xfId="20513" xr:uid="{02CEF981-A0E3-4DC3-A90D-5E53D91999BB}"/>
    <cellStyle name="Normal 5 3 5 4 2 4" xfId="12071" xr:uid="{6041A42F-0FFF-4A75-9EF0-914F34122D3B}"/>
    <cellStyle name="Normal 5 3 5 4 3" xfId="5651" xr:uid="{00000000-0005-0000-0000-0000801A0000}"/>
    <cellStyle name="Normal 5 3 5 4 3 2" xfId="22586" xr:uid="{0B4049DF-8108-4437-8B6E-363A5217A2AE}"/>
    <cellStyle name="Normal 5 3 5 4 3 3" xfId="14145" xr:uid="{8BA40E76-1D87-4B5A-8D57-6884B164456A}"/>
    <cellStyle name="Normal 5 3 5 4 4" xfId="18368" xr:uid="{C6B53C59-45DE-44A6-9594-E5AAEEBE0FD5}"/>
    <cellStyle name="Normal 5 3 5 4 5" xfId="9894" xr:uid="{253ABAC0-4FFE-44C2-B2A1-F364C3F8A623}"/>
    <cellStyle name="Normal 5 3 5 5" xfId="1757" xr:uid="{00000000-0005-0000-0000-0000811A0000}"/>
    <cellStyle name="Normal 5 3 5 5 2" xfId="3987" xr:uid="{00000000-0005-0000-0000-0000821A0000}"/>
    <cellStyle name="Normal 5 3 5 5 2 2" xfId="8209" xr:uid="{00000000-0005-0000-0000-0000831A0000}"/>
    <cellStyle name="Normal 5 3 5 5 2 2 2" xfId="25144" xr:uid="{A3CCA851-067D-46D2-8E7F-4342CF1E5F6E}"/>
    <cellStyle name="Normal 5 3 5 5 2 2 3" xfId="16703" xr:uid="{6B562EC4-B8B2-4BA9-97CD-3A98FF858DD2}"/>
    <cellStyle name="Normal 5 3 5 5 2 3" xfId="20926" xr:uid="{478C6955-ACDC-400B-BE44-1EEE367F31F4}"/>
    <cellStyle name="Normal 5 3 5 5 2 4" xfId="12484" xr:uid="{C0AB5DCF-EF0C-4541-9B29-264B32BB7786}"/>
    <cellStyle name="Normal 5 3 5 5 3" xfId="6064" xr:uid="{00000000-0005-0000-0000-0000841A0000}"/>
    <cellStyle name="Normal 5 3 5 5 3 2" xfId="22999" xr:uid="{C206A870-DBE4-441A-8CE5-039D631D93B5}"/>
    <cellStyle name="Normal 5 3 5 5 3 3" xfId="14558" xr:uid="{E58FAF61-4844-45B1-8DDA-43D4E02D2725}"/>
    <cellStyle name="Normal 5 3 5 5 4" xfId="18781" xr:uid="{49B72717-31FA-4584-9670-9360328B9A08}"/>
    <cellStyle name="Normal 5 3 5 5 5" xfId="10307" xr:uid="{65719DBD-F06D-4A12-89BD-837E4912D120}"/>
    <cellStyle name="Normal 5 3 5 6" xfId="2171" xr:uid="{00000000-0005-0000-0000-0000851A0000}"/>
    <cellStyle name="Normal 5 3 5 6 2" xfId="4400" xr:uid="{00000000-0005-0000-0000-0000861A0000}"/>
    <cellStyle name="Normal 5 3 5 6 2 2" xfId="8622" xr:uid="{00000000-0005-0000-0000-0000871A0000}"/>
    <cellStyle name="Normal 5 3 5 6 2 2 2" xfId="25557" xr:uid="{CD3515B7-3844-412E-BE2B-87EB02B1D856}"/>
    <cellStyle name="Normal 5 3 5 6 2 2 3" xfId="17116" xr:uid="{F6E06B28-2E89-44AA-BD7B-89EAD2147721}"/>
    <cellStyle name="Normal 5 3 5 6 2 3" xfId="21339" xr:uid="{C5EC9CFA-80DA-483D-B548-A74FFE480F7F}"/>
    <cellStyle name="Normal 5 3 5 6 2 4" xfId="12897" xr:uid="{11263527-6E1E-4200-8302-2975327C54D5}"/>
    <cellStyle name="Normal 5 3 5 6 3" xfId="6477" xr:uid="{00000000-0005-0000-0000-0000881A0000}"/>
    <cellStyle name="Normal 5 3 5 6 3 2" xfId="23412" xr:uid="{8CC12389-75DA-4B7A-83D6-B766D05CFCA3}"/>
    <cellStyle name="Normal 5 3 5 6 3 3" xfId="14971" xr:uid="{4F8E8714-3D9E-435A-949C-9B153A3E0AC1}"/>
    <cellStyle name="Normal 5 3 5 6 4" xfId="19194" xr:uid="{4A5D32F5-0C93-4D86-BB00-17A6F9F8387B}"/>
    <cellStyle name="Normal 5 3 5 6 5" xfId="10720" xr:uid="{C1668C66-2311-4807-9E80-DACF98279A94}"/>
    <cellStyle name="Normal 5 3 5 7" xfId="2607" xr:uid="{00000000-0005-0000-0000-0000891A0000}"/>
    <cellStyle name="Normal 5 3 5 7 2" xfId="6890" xr:uid="{00000000-0005-0000-0000-00008A1A0000}"/>
    <cellStyle name="Normal 5 3 5 7 2 2" xfId="23825" xr:uid="{CACF0C2A-49BD-4D67-8A84-51E89D8225B7}"/>
    <cellStyle name="Normal 5 3 5 7 2 3" xfId="15384" xr:uid="{586F4FF5-37C9-4A7A-BC63-6B6218F5212D}"/>
    <cellStyle name="Normal 5 3 5 7 3" xfId="19607" xr:uid="{296CD290-0EAB-409C-8AA5-BE8E6B67BB48}"/>
    <cellStyle name="Normal 5 3 5 7 4" xfId="11155" xr:uid="{0E192143-8641-4E1C-9B28-4D60BD521834}"/>
    <cellStyle name="Normal 5 3 5 8" xfId="4825" xr:uid="{00000000-0005-0000-0000-00008B1A0000}"/>
    <cellStyle name="Normal 5 3 5 8 2" xfId="21760" xr:uid="{6A543E3C-40C1-41D6-BE89-BCD4725E2D94}"/>
    <cellStyle name="Normal 5 3 5 8 3" xfId="13319" xr:uid="{0CDCA282-BF76-43C9-976B-4761ABD7B4C7}"/>
    <cellStyle name="Normal 5 3 5 9" xfId="17542" xr:uid="{3B195159-0BA4-4DD6-862D-942DAAD471DA}"/>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4320" xr:uid="{76A57338-59DB-4DDE-832D-9CF54837924C}"/>
    <cellStyle name="Normal 5 3 6 2 2 2 3" xfId="15879" xr:uid="{CF0542E8-D251-4FEF-A5BE-4B0C1AE82050}"/>
    <cellStyle name="Normal 5 3 6 2 2 3" xfId="20102" xr:uid="{B5101C8F-F258-40F9-845C-A659C5F82DC6}"/>
    <cellStyle name="Normal 5 3 6 2 2 4" xfId="11660" xr:uid="{F2612F81-BB69-475A-B0A1-892065A617EA}"/>
    <cellStyle name="Normal 5 3 6 2 3" xfId="5240" xr:uid="{00000000-0005-0000-0000-0000901A0000}"/>
    <cellStyle name="Normal 5 3 6 2 3 2" xfId="22175" xr:uid="{2F59EE75-D9C2-47B8-9983-CA82110A16F7}"/>
    <cellStyle name="Normal 5 3 6 2 3 3" xfId="13734" xr:uid="{389CB23A-9F2F-4A94-A389-59AC64DD8035}"/>
    <cellStyle name="Normal 5 3 6 2 4" xfId="17957" xr:uid="{546C8215-F1F3-4786-943C-6D1C36D531CB}"/>
    <cellStyle name="Normal 5 3 6 2 5" xfId="9483" xr:uid="{BAD346B1-55B0-406E-A590-D06BA7065EF1}"/>
    <cellStyle name="Normal 5 3 6 3" xfId="1346" xr:uid="{00000000-0005-0000-0000-0000911A0000}"/>
    <cellStyle name="Normal 5 3 6 3 2" xfId="3576" xr:uid="{00000000-0005-0000-0000-0000921A0000}"/>
    <cellStyle name="Normal 5 3 6 3 2 2" xfId="7798" xr:uid="{00000000-0005-0000-0000-0000931A0000}"/>
    <cellStyle name="Normal 5 3 6 3 2 2 2" xfId="24733" xr:uid="{C64AD41A-E268-451D-BD9F-F883FE748A3C}"/>
    <cellStyle name="Normal 5 3 6 3 2 2 3" xfId="16292" xr:uid="{EAE90E31-C39C-4797-8962-8C83649A6BB9}"/>
    <cellStyle name="Normal 5 3 6 3 2 3" xfId="20515" xr:uid="{6FAC589D-F691-40A0-8D76-70875A4B388C}"/>
    <cellStyle name="Normal 5 3 6 3 2 4" xfId="12073" xr:uid="{B90F6B5E-FF44-4551-BDC4-9F1E0F6250AA}"/>
    <cellStyle name="Normal 5 3 6 3 3" xfId="5653" xr:uid="{00000000-0005-0000-0000-0000941A0000}"/>
    <cellStyle name="Normal 5 3 6 3 3 2" xfId="22588" xr:uid="{1E90D7C4-5EA1-4970-97B9-E84A665995D9}"/>
    <cellStyle name="Normal 5 3 6 3 3 3" xfId="14147" xr:uid="{AC474C39-BE3D-4F9F-B25D-7B27D6573533}"/>
    <cellStyle name="Normal 5 3 6 3 4" xfId="18370" xr:uid="{DC7A4474-3B0C-48BE-B205-3C14E2150CB1}"/>
    <cellStyle name="Normal 5 3 6 3 5" xfId="9896" xr:uid="{C0BAF72F-EA4A-43E0-A737-04C531A0C5C6}"/>
    <cellStyle name="Normal 5 3 6 4" xfId="1759" xr:uid="{00000000-0005-0000-0000-0000951A0000}"/>
    <cellStyle name="Normal 5 3 6 4 2" xfId="3989" xr:uid="{00000000-0005-0000-0000-0000961A0000}"/>
    <cellStyle name="Normal 5 3 6 4 2 2" xfId="8211" xr:uid="{00000000-0005-0000-0000-0000971A0000}"/>
    <cellStyle name="Normal 5 3 6 4 2 2 2" xfId="25146" xr:uid="{4311485F-AB4F-44AC-A71A-EBF92C9FC602}"/>
    <cellStyle name="Normal 5 3 6 4 2 2 3" xfId="16705" xr:uid="{C86686C4-AF19-4DB2-911E-0CDA39530097}"/>
    <cellStyle name="Normal 5 3 6 4 2 3" xfId="20928" xr:uid="{55CAD268-738D-4305-B229-8228B3CC2EFB}"/>
    <cellStyle name="Normal 5 3 6 4 2 4" xfId="12486" xr:uid="{00CDE41A-B535-486B-880D-D97F371FDA70}"/>
    <cellStyle name="Normal 5 3 6 4 3" xfId="6066" xr:uid="{00000000-0005-0000-0000-0000981A0000}"/>
    <cellStyle name="Normal 5 3 6 4 3 2" xfId="23001" xr:uid="{FF5E6F73-1F52-47EF-B6DA-0B96769E4125}"/>
    <cellStyle name="Normal 5 3 6 4 3 3" xfId="14560" xr:uid="{2E113010-2D79-4F48-986B-4C80758725A4}"/>
    <cellStyle name="Normal 5 3 6 4 4" xfId="18783" xr:uid="{E54B221C-C8D2-4F0E-89B6-CF7424394F4F}"/>
    <cellStyle name="Normal 5 3 6 4 5" xfId="10309" xr:uid="{E17344CE-09B2-4E64-9D0B-9DE528F2E93C}"/>
    <cellStyle name="Normal 5 3 6 5" xfId="2173" xr:uid="{00000000-0005-0000-0000-0000991A0000}"/>
    <cellStyle name="Normal 5 3 6 5 2" xfId="4402" xr:uid="{00000000-0005-0000-0000-00009A1A0000}"/>
    <cellStyle name="Normal 5 3 6 5 2 2" xfId="8624" xr:uid="{00000000-0005-0000-0000-00009B1A0000}"/>
    <cellStyle name="Normal 5 3 6 5 2 2 2" xfId="25559" xr:uid="{550D6792-6818-4AD3-A117-2CC6C15CF112}"/>
    <cellStyle name="Normal 5 3 6 5 2 2 3" xfId="17118" xr:uid="{AE55D467-7629-4C3C-8C41-D178D5ECFF17}"/>
    <cellStyle name="Normal 5 3 6 5 2 3" xfId="21341" xr:uid="{DCFF9203-7B40-4065-AF43-AA3D2F907880}"/>
    <cellStyle name="Normal 5 3 6 5 2 4" xfId="12899" xr:uid="{2722EB8C-87D9-49E8-A8B1-E021BC676273}"/>
    <cellStyle name="Normal 5 3 6 5 3" xfId="6479" xr:uid="{00000000-0005-0000-0000-00009C1A0000}"/>
    <cellStyle name="Normal 5 3 6 5 3 2" xfId="23414" xr:uid="{79D723D6-4D7B-4139-9125-85EC49448AC7}"/>
    <cellStyle name="Normal 5 3 6 5 3 3" xfId="14973" xr:uid="{4699D7B0-A7D3-4EAA-A35C-9798665E0E71}"/>
    <cellStyle name="Normal 5 3 6 5 4" xfId="19196" xr:uid="{531ACCB4-3D63-47D5-BCDE-A735CAFA7330}"/>
    <cellStyle name="Normal 5 3 6 5 5" xfId="10722" xr:uid="{F81ADFC3-4618-40D4-BFBE-620B0EF1B272}"/>
    <cellStyle name="Normal 5 3 6 6" xfId="2609" xr:uid="{00000000-0005-0000-0000-00009D1A0000}"/>
    <cellStyle name="Normal 5 3 6 6 2" xfId="6892" xr:uid="{00000000-0005-0000-0000-00009E1A0000}"/>
    <cellStyle name="Normal 5 3 6 6 2 2" xfId="23827" xr:uid="{396D02C0-35A5-4C9B-807A-538AF1A5F7ED}"/>
    <cellStyle name="Normal 5 3 6 6 2 3" xfId="15386" xr:uid="{1F2AF6FD-FB61-4C75-B5FE-070191C15F17}"/>
    <cellStyle name="Normal 5 3 6 6 3" xfId="19609" xr:uid="{13AB9F1D-606E-41FC-BA54-8F3D20BB1B96}"/>
    <cellStyle name="Normal 5 3 6 6 4" xfId="11157" xr:uid="{CA10062F-D82D-429D-812C-923576313396}"/>
    <cellStyle name="Normal 5 3 6 7" xfId="4827" xr:uid="{00000000-0005-0000-0000-00009F1A0000}"/>
    <cellStyle name="Normal 5 3 6 7 2" xfId="21762" xr:uid="{1791438B-D3A6-44D9-92A8-0797E5EB6575}"/>
    <cellStyle name="Normal 5 3 6 7 3" xfId="13321" xr:uid="{55A89177-A851-466E-B680-2A499987A46F}"/>
    <cellStyle name="Normal 5 3 6 8" xfId="17544" xr:uid="{9B482324-C95A-4F18-A7A8-20B46A4CF746}"/>
    <cellStyle name="Normal 5 3 6 9" xfId="9069" xr:uid="{1D29A88D-B0DD-4171-B931-95D2E44EE171}"/>
    <cellStyle name="Normal 5 3 7" xfId="913" xr:uid="{00000000-0005-0000-0000-0000A01A0000}"/>
    <cellStyle name="Normal 5 3 7 2" xfId="3148" xr:uid="{00000000-0005-0000-0000-0000A11A0000}"/>
    <cellStyle name="Normal 5 3 7 2 2" xfId="7370" xr:uid="{00000000-0005-0000-0000-0000A21A0000}"/>
    <cellStyle name="Normal 5 3 7 2 2 2" xfId="24305" xr:uid="{404DC1CB-B7B4-4070-BE4A-F78E5FD1ECB6}"/>
    <cellStyle name="Normal 5 3 7 2 2 3" xfId="15864" xr:uid="{50F6EE86-BD1C-4064-94BA-0E85319FD843}"/>
    <cellStyle name="Normal 5 3 7 2 3" xfId="20087" xr:uid="{9834FEF3-63EE-4144-8538-C1E989DFFBF4}"/>
    <cellStyle name="Normal 5 3 7 2 4" xfId="11645" xr:uid="{E9D786E3-D1F2-4C1D-82C5-3D6781BEB8E4}"/>
    <cellStyle name="Normal 5 3 7 3" xfId="5225" xr:uid="{00000000-0005-0000-0000-0000A31A0000}"/>
    <cellStyle name="Normal 5 3 7 3 2" xfId="22160" xr:uid="{4651A55C-FD32-451D-969E-79D807B6241D}"/>
    <cellStyle name="Normal 5 3 7 3 3" xfId="13719" xr:uid="{74232838-51B6-4943-941C-E21E7ECE8005}"/>
    <cellStyle name="Normal 5 3 7 4" xfId="17942" xr:uid="{D1EFC2EC-2EB4-474F-9F46-DB88875D195C}"/>
    <cellStyle name="Normal 5 3 7 5" xfId="9468" xr:uid="{0D814FF0-EBF6-4183-8D25-C1A32A6042CB}"/>
    <cellStyle name="Normal 5 3 8" xfId="1331" xr:uid="{00000000-0005-0000-0000-0000A41A0000}"/>
    <cellStyle name="Normal 5 3 8 2" xfId="3561" xr:uid="{00000000-0005-0000-0000-0000A51A0000}"/>
    <cellStyle name="Normal 5 3 8 2 2" xfId="7783" xr:uid="{00000000-0005-0000-0000-0000A61A0000}"/>
    <cellStyle name="Normal 5 3 8 2 2 2" xfId="24718" xr:uid="{00DB195F-DDF5-4EF8-9BC4-3B25391E1928}"/>
    <cellStyle name="Normal 5 3 8 2 2 3" xfId="16277" xr:uid="{ACD45862-4030-4D20-94FD-8DCA907AF221}"/>
    <cellStyle name="Normal 5 3 8 2 3" xfId="20500" xr:uid="{6EABC999-2377-4DD3-ADF5-27977A7B2846}"/>
    <cellStyle name="Normal 5 3 8 2 4" xfId="12058" xr:uid="{07A69E5B-3857-4B8A-B396-45DADF7AF3AE}"/>
    <cellStyle name="Normal 5 3 8 3" xfId="5638" xr:uid="{00000000-0005-0000-0000-0000A71A0000}"/>
    <cellStyle name="Normal 5 3 8 3 2" xfId="22573" xr:uid="{0D4B3F33-7B67-41C4-8950-8A18B8D9CDCA}"/>
    <cellStyle name="Normal 5 3 8 3 3" xfId="14132" xr:uid="{D69D0B4D-F908-4177-B0C3-72381BFEFA15}"/>
    <cellStyle name="Normal 5 3 8 4" xfId="18355" xr:uid="{3FF1B544-D627-4E05-97AD-82F146898F34}"/>
    <cellStyle name="Normal 5 3 8 5" xfId="9881" xr:uid="{AEBC1BDF-7137-497D-B151-9582912304E9}"/>
    <cellStyle name="Normal 5 3 9" xfId="1744" xr:uid="{00000000-0005-0000-0000-0000A81A0000}"/>
    <cellStyle name="Normal 5 3 9 2" xfId="3974" xr:uid="{00000000-0005-0000-0000-0000A91A0000}"/>
    <cellStyle name="Normal 5 3 9 2 2" xfId="8196" xr:uid="{00000000-0005-0000-0000-0000AA1A0000}"/>
    <cellStyle name="Normal 5 3 9 2 2 2" xfId="25131" xr:uid="{9D2B0AE1-8102-418E-9910-59A7667823A9}"/>
    <cellStyle name="Normal 5 3 9 2 2 3" xfId="16690" xr:uid="{4589C0F2-7126-4B52-9ECA-1B7F8FD3CB18}"/>
    <cellStyle name="Normal 5 3 9 2 3" xfId="20913" xr:uid="{3AF8773F-62D5-4030-B5F8-D2AE5C9A9CEF}"/>
    <cellStyle name="Normal 5 3 9 2 4" xfId="12471" xr:uid="{E5313346-5767-414B-B471-F025AA2DF745}"/>
    <cellStyle name="Normal 5 3 9 3" xfId="6051" xr:uid="{00000000-0005-0000-0000-0000AB1A0000}"/>
    <cellStyle name="Normal 5 3 9 3 2" xfId="22986" xr:uid="{62AE7F9B-EEEC-44A4-8477-E9C7F9D3BAD8}"/>
    <cellStyle name="Normal 5 3 9 3 3" xfId="14545" xr:uid="{FAE16D31-5875-46E8-A6FB-8D545082A2B8}"/>
    <cellStyle name="Normal 5 3 9 4" xfId="18768" xr:uid="{7811FCBB-35D2-4E1E-B6C9-F222B0C1FC0B}"/>
    <cellStyle name="Normal 5 3 9 5" xfId="10294" xr:uid="{1746D006-51F5-4E82-8728-351574B94DD6}"/>
    <cellStyle name="Normal 5 4" xfId="456" xr:uid="{00000000-0005-0000-0000-0000AC1A0000}"/>
    <cellStyle name="Normal 5 4 10" xfId="4828" xr:uid="{00000000-0005-0000-0000-0000AD1A0000}"/>
    <cellStyle name="Normal 5 4 10 2" xfId="21763" xr:uid="{9D9031DA-9AF4-4D2B-8B17-1C24A301E420}"/>
    <cellStyle name="Normal 5 4 10 3" xfId="13322" xr:uid="{69FD5571-F262-4DFA-A6D7-7A848B1155A9}"/>
    <cellStyle name="Normal 5 4 11" xfId="17545" xr:uid="{469A68A9-7D24-48F7-AFE9-0FB0ABEA8448}"/>
    <cellStyle name="Normal 5 4 12" xfId="9070" xr:uid="{EE8869EB-749B-4D58-ADAE-C2D0B07FD4AA}"/>
    <cellStyle name="Normal 5 4 2" xfId="457" xr:uid="{00000000-0005-0000-0000-0000AE1A0000}"/>
    <cellStyle name="Normal 5 4 2 10" xfId="17546" xr:uid="{0E0B1264-6317-425F-9EC6-D955B7C5948C}"/>
    <cellStyle name="Normal 5 4 2 11" xfId="9071" xr:uid="{998A850F-56C0-499E-B9E1-6E6745B4DEF4}"/>
    <cellStyle name="Normal 5 4 2 2" xfId="458" xr:uid="{00000000-0005-0000-0000-0000AF1A0000}"/>
    <cellStyle name="Normal 5 4 2 2 10" xfId="9072" xr:uid="{8691BC19-B41E-4580-B5AA-6B772EC70778}"/>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4324" xr:uid="{771815BD-A6D0-4FFA-A491-3674D3426A56}"/>
    <cellStyle name="Normal 5 4 2 2 2 2 2 2 3" xfId="15883" xr:uid="{C3E75DFC-01D4-4D71-A211-1E97F2762C89}"/>
    <cellStyle name="Normal 5 4 2 2 2 2 2 3" xfId="20106" xr:uid="{A9A74FBF-78C9-4434-860E-1D34B9AF9C21}"/>
    <cellStyle name="Normal 5 4 2 2 2 2 2 4" xfId="11664" xr:uid="{888B8172-15F2-4A02-978A-EEB3E376D4B9}"/>
    <cellStyle name="Normal 5 4 2 2 2 2 3" xfId="5244" xr:uid="{00000000-0005-0000-0000-0000B41A0000}"/>
    <cellStyle name="Normal 5 4 2 2 2 2 3 2" xfId="22179" xr:uid="{5E47B26F-DB6F-4284-83BC-5D128269707D}"/>
    <cellStyle name="Normal 5 4 2 2 2 2 3 3" xfId="13738" xr:uid="{45DFFA0F-297E-4B16-97FB-1EB49709EF3A}"/>
    <cellStyle name="Normal 5 4 2 2 2 2 4" xfId="17961" xr:uid="{4E439C42-C195-4C0E-9906-87A784D74E05}"/>
    <cellStyle name="Normal 5 4 2 2 2 2 5" xfId="9487" xr:uid="{35AFDC3D-58EB-45B0-87A1-D05108600BBC}"/>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4737" xr:uid="{F55A1D1B-9E10-45CB-B9C2-31466AEEA686}"/>
    <cellStyle name="Normal 5 4 2 2 2 3 2 2 3" xfId="16296" xr:uid="{BD4D9258-1A32-4DF1-BA74-8EBBE82AC1BC}"/>
    <cellStyle name="Normal 5 4 2 2 2 3 2 3" xfId="20519" xr:uid="{FCD58D1C-6F44-4B10-B917-331032EC9C72}"/>
    <cellStyle name="Normal 5 4 2 2 2 3 2 4" xfId="12077" xr:uid="{D90C605D-506B-4567-BEE6-0D6FC5194531}"/>
    <cellStyle name="Normal 5 4 2 2 2 3 3" xfId="5657" xr:uid="{00000000-0005-0000-0000-0000B81A0000}"/>
    <cellStyle name="Normal 5 4 2 2 2 3 3 2" xfId="22592" xr:uid="{681D955A-D32B-4D8D-83FA-C2BDCBA1CB30}"/>
    <cellStyle name="Normal 5 4 2 2 2 3 3 3" xfId="14151" xr:uid="{85F4AD32-C192-46DA-B480-BD55FFBBB3A5}"/>
    <cellStyle name="Normal 5 4 2 2 2 3 4" xfId="18374" xr:uid="{807B9C75-9D94-427B-A378-7F2EFCC2B70C}"/>
    <cellStyle name="Normal 5 4 2 2 2 3 5" xfId="9900" xr:uid="{02FE1ED8-A827-4BA0-B48F-68EE6D7C2F8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150" xr:uid="{C7DC8404-1593-413E-9445-5F6A0D548FB7}"/>
    <cellStyle name="Normal 5 4 2 2 2 4 2 2 3" xfId="16709" xr:uid="{183899D6-FF9E-436C-92AD-28E8C3DD62C3}"/>
    <cellStyle name="Normal 5 4 2 2 2 4 2 3" xfId="20932" xr:uid="{BED09A7B-6ECD-4C99-9FE2-BA0394B4FBB0}"/>
    <cellStyle name="Normal 5 4 2 2 2 4 2 4" xfId="12490" xr:uid="{1E0A9CBE-8197-4EB4-AFD9-FE22251EA81F}"/>
    <cellStyle name="Normal 5 4 2 2 2 4 3" xfId="6070" xr:uid="{00000000-0005-0000-0000-0000BC1A0000}"/>
    <cellStyle name="Normal 5 4 2 2 2 4 3 2" xfId="23005" xr:uid="{513A8BF3-6264-4BDA-8BA7-608911882B84}"/>
    <cellStyle name="Normal 5 4 2 2 2 4 3 3" xfId="14564" xr:uid="{7D32EF3C-015C-4BBC-912A-5411DC549DD0}"/>
    <cellStyle name="Normal 5 4 2 2 2 4 4" xfId="18787" xr:uid="{3EBF9698-CB1C-4F55-A299-6907220A0026}"/>
    <cellStyle name="Normal 5 4 2 2 2 4 5" xfId="10313" xr:uid="{2F0A1D8E-E4CB-4BC7-B259-C275E9B7113D}"/>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5563" xr:uid="{5B9D3931-309B-4AE3-B51C-1F2C9AE59940}"/>
    <cellStyle name="Normal 5 4 2 2 2 5 2 2 3" xfId="17122" xr:uid="{0AF66958-17D7-4E5A-AD92-D84B1011CA4E}"/>
    <cellStyle name="Normal 5 4 2 2 2 5 2 3" xfId="21345" xr:uid="{E6313A8E-01C3-4463-9350-FE3113DB6B56}"/>
    <cellStyle name="Normal 5 4 2 2 2 5 2 4" xfId="12903" xr:uid="{4CE0810F-6E02-45EF-91CE-0718316A8D2C}"/>
    <cellStyle name="Normal 5 4 2 2 2 5 3" xfId="6483" xr:uid="{00000000-0005-0000-0000-0000C01A0000}"/>
    <cellStyle name="Normal 5 4 2 2 2 5 3 2" xfId="23418" xr:uid="{07DB0E62-9BFB-4E73-AFEB-6BD0C8E1B8B1}"/>
    <cellStyle name="Normal 5 4 2 2 2 5 3 3" xfId="14977" xr:uid="{6BF6CEA7-D911-498B-9430-B0FC79476DEE}"/>
    <cellStyle name="Normal 5 4 2 2 2 5 4" xfId="19200" xr:uid="{5C48CB88-B6CE-4382-9D86-1924CB3792D1}"/>
    <cellStyle name="Normal 5 4 2 2 2 5 5" xfId="10726" xr:uid="{DB225597-5B33-4B20-9973-301945404E18}"/>
    <cellStyle name="Normal 5 4 2 2 2 6" xfId="2613" xr:uid="{00000000-0005-0000-0000-0000C11A0000}"/>
    <cellStyle name="Normal 5 4 2 2 2 6 2" xfId="6896" xr:uid="{00000000-0005-0000-0000-0000C21A0000}"/>
    <cellStyle name="Normal 5 4 2 2 2 6 2 2" xfId="23831" xr:uid="{3A2A24BA-FBD7-47F6-8D9A-26C2359F54FB}"/>
    <cellStyle name="Normal 5 4 2 2 2 6 2 3" xfId="15390" xr:uid="{7B17F598-1BBB-4A26-B2F1-8255AD9901E9}"/>
    <cellStyle name="Normal 5 4 2 2 2 6 3" xfId="19613" xr:uid="{52B26709-D276-4F87-BB4A-084A39D1E715}"/>
    <cellStyle name="Normal 5 4 2 2 2 6 4" xfId="11161" xr:uid="{69FBF015-8885-4FEB-9741-6C8E3AF2A411}"/>
    <cellStyle name="Normal 5 4 2 2 2 7" xfId="4831" xr:uid="{00000000-0005-0000-0000-0000C31A0000}"/>
    <cellStyle name="Normal 5 4 2 2 2 7 2" xfId="21766" xr:uid="{371DAF87-85C9-4790-8CAA-B167F24A6FF1}"/>
    <cellStyle name="Normal 5 4 2 2 2 7 3" xfId="13325" xr:uid="{33487C0C-4529-4017-BF7C-0617BE9C105D}"/>
    <cellStyle name="Normal 5 4 2 2 2 8" xfId="17548" xr:uid="{C417C176-ACEF-49E2-AB49-67DE3617949A}"/>
    <cellStyle name="Normal 5 4 2 2 2 9" xfId="9073" xr:uid="{2AB3FAC5-630E-4717-9F03-E948F731A756}"/>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4323" xr:uid="{348E7D27-C1A5-444D-939D-CE68E8E58B83}"/>
    <cellStyle name="Normal 5 4 2 2 3 2 2 3" xfId="15882" xr:uid="{12400BEC-9197-41A8-BEAD-102FD22DEE11}"/>
    <cellStyle name="Normal 5 4 2 2 3 2 3" xfId="20105" xr:uid="{D5AA6D3C-74F9-43EE-9813-BA7D806B5086}"/>
    <cellStyle name="Normal 5 4 2 2 3 2 4" xfId="11663" xr:uid="{F3921480-5DAA-4450-8983-58C3C0D7BD08}"/>
    <cellStyle name="Normal 5 4 2 2 3 3" xfId="5243" xr:uid="{00000000-0005-0000-0000-0000C71A0000}"/>
    <cellStyle name="Normal 5 4 2 2 3 3 2" xfId="22178" xr:uid="{143649FC-CADD-4FFE-9995-9D310918568D}"/>
    <cellStyle name="Normal 5 4 2 2 3 3 3" xfId="13737" xr:uid="{DB73B6D5-50E4-4927-847C-0E0A14E2E7A1}"/>
    <cellStyle name="Normal 5 4 2 2 3 4" xfId="17960" xr:uid="{9957C386-4FEC-4C02-ADFE-16C964F3928D}"/>
    <cellStyle name="Normal 5 4 2 2 3 5" xfId="9486" xr:uid="{1777E236-B181-417F-9F48-0A38BB8541EB}"/>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4736" xr:uid="{CF53B7F8-D3AF-42C8-9E54-2867705B0935}"/>
    <cellStyle name="Normal 5 4 2 2 4 2 2 3" xfId="16295" xr:uid="{ADFD9507-C116-4863-AEE7-4E114EB55956}"/>
    <cellStyle name="Normal 5 4 2 2 4 2 3" xfId="20518" xr:uid="{ECB0BCDA-DFB7-47B5-A440-3E2526DB003E}"/>
    <cellStyle name="Normal 5 4 2 2 4 2 4" xfId="12076" xr:uid="{0B33DDB1-8959-47B8-B8CA-3D39DD8F414A}"/>
    <cellStyle name="Normal 5 4 2 2 4 3" xfId="5656" xr:uid="{00000000-0005-0000-0000-0000CB1A0000}"/>
    <cellStyle name="Normal 5 4 2 2 4 3 2" xfId="22591" xr:uid="{BD523800-E8A0-4661-BDFF-225874E81777}"/>
    <cellStyle name="Normal 5 4 2 2 4 3 3" xfId="14150" xr:uid="{973DF6E2-95B4-44FF-8565-2B1EF5C519FE}"/>
    <cellStyle name="Normal 5 4 2 2 4 4" xfId="18373" xr:uid="{7585FC00-6483-4D35-840B-5132298C763B}"/>
    <cellStyle name="Normal 5 4 2 2 4 5" xfId="9899" xr:uid="{EC4C5341-31C7-47CD-837F-D14879287FD1}"/>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149" xr:uid="{FD538983-9DC8-4C9A-B5E0-6642DD1E8627}"/>
    <cellStyle name="Normal 5 4 2 2 5 2 2 3" xfId="16708" xr:uid="{B07F23A6-AC55-4E1D-9062-509A6B0971F5}"/>
    <cellStyle name="Normal 5 4 2 2 5 2 3" xfId="20931" xr:uid="{A5BF8E87-F571-4187-86FB-E1693ED44685}"/>
    <cellStyle name="Normal 5 4 2 2 5 2 4" xfId="12489" xr:uid="{7AC1162B-ADD9-4015-BB30-FC999539DA4A}"/>
    <cellStyle name="Normal 5 4 2 2 5 3" xfId="6069" xr:uid="{00000000-0005-0000-0000-0000CF1A0000}"/>
    <cellStyle name="Normal 5 4 2 2 5 3 2" xfId="23004" xr:uid="{D3285124-8242-4AAC-899F-F25907C1644D}"/>
    <cellStyle name="Normal 5 4 2 2 5 3 3" xfId="14563" xr:uid="{57262335-0E44-41E5-9BDF-2B9562961C3B}"/>
    <cellStyle name="Normal 5 4 2 2 5 4" xfId="18786" xr:uid="{8EF734D6-5047-474B-8297-03375D232C57}"/>
    <cellStyle name="Normal 5 4 2 2 5 5" xfId="10312" xr:uid="{B5C17529-E2CF-4A3A-85B7-D131F9DDDCBA}"/>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5562" xr:uid="{20AA154F-B435-4542-BDEC-10443CAB7DD3}"/>
    <cellStyle name="Normal 5 4 2 2 6 2 2 3" xfId="17121" xr:uid="{26233456-66B6-4C63-8A65-761249887077}"/>
    <cellStyle name="Normal 5 4 2 2 6 2 3" xfId="21344" xr:uid="{439D0436-CA57-4CDA-AFDB-F8457EA6C2CA}"/>
    <cellStyle name="Normal 5 4 2 2 6 2 4" xfId="12902" xr:uid="{2A7CA6D9-A087-4355-B345-040C434FC64D}"/>
    <cellStyle name="Normal 5 4 2 2 6 3" xfId="6482" xr:uid="{00000000-0005-0000-0000-0000D31A0000}"/>
    <cellStyle name="Normal 5 4 2 2 6 3 2" xfId="23417" xr:uid="{1B7318C9-2767-4768-B85A-5A7407A60B59}"/>
    <cellStyle name="Normal 5 4 2 2 6 3 3" xfId="14976" xr:uid="{849C1D21-6187-4397-928D-7AB2BA41314B}"/>
    <cellStyle name="Normal 5 4 2 2 6 4" xfId="19199" xr:uid="{CF6B85F1-8CED-4480-9D98-A0D880CEBA62}"/>
    <cellStyle name="Normal 5 4 2 2 6 5" xfId="10725" xr:uid="{CE13479C-7B1B-4347-A163-DDA4437D7CC6}"/>
    <cellStyle name="Normal 5 4 2 2 7" xfId="2612" xr:uid="{00000000-0005-0000-0000-0000D41A0000}"/>
    <cellStyle name="Normal 5 4 2 2 7 2" xfId="6895" xr:uid="{00000000-0005-0000-0000-0000D51A0000}"/>
    <cellStyle name="Normal 5 4 2 2 7 2 2" xfId="23830" xr:uid="{0D146EE2-A643-471E-A145-C8D03D145246}"/>
    <cellStyle name="Normal 5 4 2 2 7 2 3" xfId="15389" xr:uid="{D7049144-A5CD-4BB9-AA73-C0DA62C7F762}"/>
    <cellStyle name="Normal 5 4 2 2 7 3" xfId="19612" xr:uid="{E270C1C9-2A89-4AF1-A447-C4155651997B}"/>
    <cellStyle name="Normal 5 4 2 2 7 4" xfId="11160" xr:uid="{90DCBA9F-B53C-4603-95EC-B64B1D34A9B5}"/>
    <cellStyle name="Normal 5 4 2 2 8" xfId="4830" xr:uid="{00000000-0005-0000-0000-0000D61A0000}"/>
    <cellStyle name="Normal 5 4 2 2 8 2" xfId="21765" xr:uid="{28028FC3-7118-4EE5-B67E-11F7F063C83D}"/>
    <cellStyle name="Normal 5 4 2 2 8 3" xfId="13324" xr:uid="{E51EF19D-3EF3-4295-A10A-1CDACD95BFD1}"/>
    <cellStyle name="Normal 5 4 2 2 9" xfId="17547" xr:uid="{DCAE2E45-45EF-482B-AA47-3BA058AC5459}"/>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4325" xr:uid="{089DFF57-A5A7-40A7-90B1-D12410753BA5}"/>
    <cellStyle name="Normal 5 4 2 3 2 2 2 3" xfId="15884" xr:uid="{1B1B8586-6B52-445A-AFAB-17E7C0B76135}"/>
    <cellStyle name="Normal 5 4 2 3 2 2 3" xfId="20107" xr:uid="{480F22FF-9389-42C1-BF5F-932DA9A37FBD}"/>
    <cellStyle name="Normal 5 4 2 3 2 2 4" xfId="11665" xr:uid="{F7B62552-11C8-4FA4-9245-5ED2B36188BD}"/>
    <cellStyle name="Normal 5 4 2 3 2 3" xfId="5245" xr:uid="{00000000-0005-0000-0000-0000DB1A0000}"/>
    <cellStyle name="Normal 5 4 2 3 2 3 2" xfId="22180" xr:uid="{DA14D0EF-993E-4291-9506-3C2266478E90}"/>
    <cellStyle name="Normal 5 4 2 3 2 3 3" xfId="13739" xr:uid="{7DAA71D1-5D3F-4284-821D-3F467774BA3C}"/>
    <cellStyle name="Normal 5 4 2 3 2 4" xfId="17962" xr:uid="{255A75B4-BB06-40DC-8A08-49D1CD5DBBF8}"/>
    <cellStyle name="Normal 5 4 2 3 2 5" xfId="9488" xr:uid="{78F4A244-753B-43B5-AECA-BAE0E3EF022B}"/>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4738" xr:uid="{37B5295C-B1D1-4A5B-935C-4A8340A3B0A6}"/>
    <cellStyle name="Normal 5 4 2 3 3 2 2 3" xfId="16297" xr:uid="{22F132E0-01E5-486E-B66F-D69A51AD61E9}"/>
    <cellStyle name="Normal 5 4 2 3 3 2 3" xfId="20520" xr:uid="{C179A61D-C2E3-40F7-97E1-925EA14ED628}"/>
    <cellStyle name="Normal 5 4 2 3 3 2 4" xfId="12078" xr:uid="{1DF6E9BA-1F94-41B5-A0E0-62AD04FB263A}"/>
    <cellStyle name="Normal 5 4 2 3 3 3" xfId="5658" xr:uid="{00000000-0005-0000-0000-0000DF1A0000}"/>
    <cellStyle name="Normal 5 4 2 3 3 3 2" xfId="22593" xr:uid="{B0ACF459-7769-4971-86ED-E37B32729A4F}"/>
    <cellStyle name="Normal 5 4 2 3 3 3 3" xfId="14152" xr:uid="{36A9D612-59CC-4850-904C-85788BA26176}"/>
    <cellStyle name="Normal 5 4 2 3 3 4" xfId="18375" xr:uid="{655D365C-13FB-4559-9F86-9734FF804B7A}"/>
    <cellStyle name="Normal 5 4 2 3 3 5" xfId="9901" xr:uid="{33707DDC-6B01-4FF0-84A7-F16A41E1BE7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151" xr:uid="{C8CFA51B-D64E-418D-8AAF-D38220374B6C}"/>
    <cellStyle name="Normal 5 4 2 3 4 2 2 3" xfId="16710" xr:uid="{F011F725-7C7C-45D7-A12F-E35BCD53C346}"/>
    <cellStyle name="Normal 5 4 2 3 4 2 3" xfId="20933" xr:uid="{A60084F7-8FFA-48F1-81DD-053BF5FF9E5A}"/>
    <cellStyle name="Normal 5 4 2 3 4 2 4" xfId="12491" xr:uid="{90263F98-22C4-4A8E-AFBA-AE3029024509}"/>
    <cellStyle name="Normal 5 4 2 3 4 3" xfId="6071" xr:uid="{00000000-0005-0000-0000-0000E31A0000}"/>
    <cellStyle name="Normal 5 4 2 3 4 3 2" xfId="23006" xr:uid="{AC71D8F9-80D8-44D8-83E8-6B8712A7B6E5}"/>
    <cellStyle name="Normal 5 4 2 3 4 3 3" xfId="14565" xr:uid="{B13622E4-4EA6-4312-9617-971B8DEBB0F1}"/>
    <cellStyle name="Normal 5 4 2 3 4 4" xfId="18788" xr:uid="{13A23CF1-AA56-4A6E-BB33-9F468B6C222E}"/>
    <cellStyle name="Normal 5 4 2 3 4 5" xfId="10314" xr:uid="{29B0198E-767A-4A68-B736-099DF351FD58}"/>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5564" xr:uid="{9399988B-3699-48D8-B11C-92C074A4F268}"/>
    <cellStyle name="Normal 5 4 2 3 5 2 2 3" xfId="17123" xr:uid="{73F27F19-37E9-47D7-9185-EE982E82A8DA}"/>
    <cellStyle name="Normal 5 4 2 3 5 2 3" xfId="21346" xr:uid="{596B90FC-E072-43CC-BAEC-2A7F58780881}"/>
    <cellStyle name="Normal 5 4 2 3 5 2 4" xfId="12904" xr:uid="{26294A97-04D0-429E-AB9B-9813C7A42DDA}"/>
    <cellStyle name="Normal 5 4 2 3 5 3" xfId="6484" xr:uid="{00000000-0005-0000-0000-0000E71A0000}"/>
    <cellStyle name="Normal 5 4 2 3 5 3 2" xfId="23419" xr:uid="{5E4C9D89-E4D1-4BDF-81BB-2F6C10163AB9}"/>
    <cellStyle name="Normal 5 4 2 3 5 3 3" xfId="14978" xr:uid="{3811FDEB-E1AF-4E65-A351-1F5D599C15E4}"/>
    <cellStyle name="Normal 5 4 2 3 5 4" xfId="19201" xr:uid="{32120857-CC7B-4D8D-9AAA-4E5C16A54046}"/>
    <cellStyle name="Normal 5 4 2 3 5 5" xfId="10727" xr:uid="{3B169944-A0DD-460A-B5BF-3A86E61C2034}"/>
    <cellStyle name="Normal 5 4 2 3 6" xfId="2614" xr:uid="{00000000-0005-0000-0000-0000E81A0000}"/>
    <cellStyle name="Normal 5 4 2 3 6 2" xfId="6897" xr:uid="{00000000-0005-0000-0000-0000E91A0000}"/>
    <cellStyle name="Normal 5 4 2 3 6 2 2" xfId="23832" xr:uid="{D3F98088-0CFA-4DFA-A0AC-9ECBC1AECC91}"/>
    <cellStyle name="Normal 5 4 2 3 6 2 3" xfId="15391" xr:uid="{2FBCBAC8-2722-45E1-9034-6199FCA2AFA0}"/>
    <cellStyle name="Normal 5 4 2 3 6 3" xfId="19614" xr:uid="{3E27381D-050B-47AA-8774-755396BD2716}"/>
    <cellStyle name="Normal 5 4 2 3 6 4" xfId="11162" xr:uid="{66E7AFBD-8F28-4267-9C81-6C93DA09132A}"/>
    <cellStyle name="Normal 5 4 2 3 7" xfId="4832" xr:uid="{00000000-0005-0000-0000-0000EA1A0000}"/>
    <cellStyle name="Normal 5 4 2 3 7 2" xfId="21767" xr:uid="{96FD16E1-9690-4386-A88C-CE974DAEDB83}"/>
    <cellStyle name="Normal 5 4 2 3 7 3" xfId="13326" xr:uid="{83E90E35-EEC9-4B19-AA7C-126CA813A12E}"/>
    <cellStyle name="Normal 5 4 2 3 8" xfId="17549" xr:uid="{D808265F-6249-451D-87EB-A2F07EC2635E}"/>
    <cellStyle name="Normal 5 4 2 3 9" xfId="9074" xr:uid="{C9272F64-5146-45DB-8B39-DD5BB56C1D12}"/>
    <cellStyle name="Normal 5 4 2 4" xfId="931" xr:uid="{00000000-0005-0000-0000-0000EB1A0000}"/>
    <cellStyle name="Normal 5 4 2 4 2" xfId="3165" xr:uid="{00000000-0005-0000-0000-0000EC1A0000}"/>
    <cellStyle name="Normal 5 4 2 4 2 2" xfId="7387" xr:uid="{00000000-0005-0000-0000-0000ED1A0000}"/>
    <cellStyle name="Normal 5 4 2 4 2 2 2" xfId="24322" xr:uid="{C74952C5-9C36-452F-A639-3B82CFAC5192}"/>
    <cellStyle name="Normal 5 4 2 4 2 2 3" xfId="15881" xr:uid="{B388D10F-8114-44FB-BA78-017340414495}"/>
    <cellStyle name="Normal 5 4 2 4 2 3" xfId="20104" xr:uid="{9802C4FD-F0EB-4F13-B3B8-73306AE1146F}"/>
    <cellStyle name="Normal 5 4 2 4 2 4" xfId="11662" xr:uid="{9E5AE4EF-3C63-434A-B62F-42A3432A922D}"/>
    <cellStyle name="Normal 5 4 2 4 3" xfId="5242" xr:uid="{00000000-0005-0000-0000-0000EE1A0000}"/>
    <cellStyle name="Normal 5 4 2 4 3 2" xfId="22177" xr:uid="{D17FB0AC-571F-4F9A-83CD-8606E9E185F9}"/>
    <cellStyle name="Normal 5 4 2 4 3 3" xfId="13736" xr:uid="{5F393954-04C1-43C6-AECB-FB51483626AD}"/>
    <cellStyle name="Normal 5 4 2 4 4" xfId="17959" xr:uid="{D05FB19C-16BD-435E-9F39-CE9DECD86661}"/>
    <cellStyle name="Normal 5 4 2 4 5" xfId="9485" xr:uid="{92AA68DE-9692-42DA-8C80-143FA302211A}"/>
    <cellStyle name="Normal 5 4 2 5" xfId="1348" xr:uid="{00000000-0005-0000-0000-0000EF1A0000}"/>
    <cellStyle name="Normal 5 4 2 5 2" xfId="3578" xr:uid="{00000000-0005-0000-0000-0000F01A0000}"/>
    <cellStyle name="Normal 5 4 2 5 2 2" xfId="7800" xr:uid="{00000000-0005-0000-0000-0000F11A0000}"/>
    <cellStyle name="Normal 5 4 2 5 2 2 2" xfId="24735" xr:uid="{7571ACE1-D6C0-485A-9E71-DDB34EF11C30}"/>
    <cellStyle name="Normal 5 4 2 5 2 2 3" xfId="16294" xr:uid="{41EDAAF9-5227-4168-9C39-597B26525B97}"/>
    <cellStyle name="Normal 5 4 2 5 2 3" xfId="20517" xr:uid="{45EB0EBD-0435-4179-B2DF-D2F5FE8A9AAD}"/>
    <cellStyle name="Normal 5 4 2 5 2 4" xfId="12075" xr:uid="{34E3507D-F813-4A49-9936-775256CA2570}"/>
    <cellStyle name="Normal 5 4 2 5 3" xfId="5655" xr:uid="{00000000-0005-0000-0000-0000F21A0000}"/>
    <cellStyle name="Normal 5 4 2 5 3 2" xfId="22590" xr:uid="{FE5D6F34-21D8-4BB7-84D3-98028977F6A0}"/>
    <cellStyle name="Normal 5 4 2 5 3 3" xfId="14149" xr:uid="{1F7C996F-338E-4BA2-8AAD-0294592D80B7}"/>
    <cellStyle name="Normal 5 4 2 5 4" xfId="18372" xr:uid="{C35718B5-EC83-426B-A350-C12EDD5254DE}"/>
    <cellStyle name="Normal 5 4 2 5 5" xfId="9898" xr:uid="{CAB33238-E29E-4E1A-9C8D-BE9D83B84570}"/>
    <cellStyle name="Normal 5 4 2 6" xfId="1761" xr:uid="{00000000-0005-0000-0000-0000F31A0000}"/>
    <cellStyle name="Normal 5 4 2 6 2" xfId="3991" xr:uid="{00000000-0005-0000-0000-0000F41A0000}"/>
    <cellStyle name="Normal 5 4 2 6 2 2" xfId="8213" xr:uid="{00000000-0005-0000-0000-0000F51A0000}"/>
    <cellStyle name="Normal 5 4 2 6 2 2 2" xfId="25148" xr:uid="{14D9C07B-00A0-44D7-A430-9329B9CB31CB}"/>
    <cellStyle name="Normal 5 4 2 6 2 2 3" xfId="16707" xr:uid="{6C73DA7D-38FC-4F67-A4BD-CB47FE5EFBEA}"/>
    <cellStyle name="Normal 5 4 2 6 2 3" xfId="20930" xr:uid="{A0A5DC02-292E-4B57-98FF-CD222B2EA1B0}"/>
    <cellStyle name="Normal 5 4 2 6 2 4" xfId="12488" xr:uid="{1E8A6E05-3AFB-4920-B484-4B6096866858}"/>
    <cellStyle name="Normal 5 4 2 6 3" xfId="6068" xr:uid="{00000000-0005-0000-0000-0000F61A0000}"/>
    <cellStyle name="Normal 5 4 2 6 3 2" xfId="23003" xr:uid="{10989D19-E101-471D-A0D9-8F69ECAD6A26}"/>
    <cellStyle name="Normal 5 4 2 6 3 3" xfId="14562" xr:uid="{AE6889A1-44C0-408C-A166-672BE510808F}"/>
    <cellStyle name="Normal 5 4 2 6 4" xfId="18785" xr:uid="{47FBF611-EB6B-4C14-B657-0D38115A44C8}"/>
    <cellStyle name="Normal 5 4 2 6 5" xfId="10311" xr:uid="{26AF24AF-8BFC-4A68-A011-3C1CCA21DFC4}"/>
    <cellStyle name="Normal 5 4 2 7" xfId="2175" xr:uid="{00000000-0005-0000-0000-0000F71A0000}"/>
    <cellStyle name="Normal 5 4 2 7 2" xfId="4404" xr:uid="{00000000-0005-0000-0000-0000F81A0000}"/>
    <cellStyle name="Normal 5 4 2 7 2 2" xfId="8626" xr:uid="{00000000-0005-0000-0000-0000F91A0000}"/>
    <cellStyle name="Normal 5 4 2 7 2 2 2" xfId="25561" xr:uid="{6481F49D-74A0-4157-9D63-026A207BC1DB}"/>
    <cellStyle name="Normal 5 4 2 7 2 2 3" xfId="17120" xr:uid="{326680BB-923A-40CD-BE02-2DF3C3569B7D}"/>
    <cellStyle name="Normal 5 4 2 7 2 3" xfId="21343" xr:uid="{5D2C5FC4-6916-442E-B553-931EC10E9F78}"/>
    <cellStyle name="Normal 5 4 2 7 2 4" xfId="12901" xr:uid="{C916C922-A7B6-4E37-9DC9-747D27F411FB}"/>
    <cellStyle name="Normal 5 4 2 7 3" xfId="6481" xr:uid="{00000000-0005-0000-0000-0000FA1A0000}"/>
    <cellStyle name="Normal 5 4 2 7 3 2" xfId="23416" xr:uid="{38E40AF4-84CC-4A9E-AFB6-0490B0FA3C71}"/>
    <cellStyle name="Normal 5 4 2 7 3 3" xfId="14975" xr:uid="{15F43831-6FB2-428F-93DC-C865E209F88C}"/>
    <cellStyle name="Normal 5 4 2 7 4" xfId="19198" xr:uid="{6457D88D-26D2-42EE-BEAF-F7B5BB7074CA}"/>
    <cellStyle name="Normal 5 4 2 7 5" xfId="10724" xr:uid="{E66AFD14-51B4-49EF-B92A-51DD90000058}"/>
    <cellStyle name="Normal 5 4 2 8" xfId="2611" xr:uid="{00000000-0005-0000-0000-0000FB1A0000}"/>
    <cellStyle name="Normal 5 4 2 8 2" xfId="6894" xr:uid="{00000000-0005-0000-0000-0000FC1A0000}"/>
    <cellStyle name="Normal 5 4 2 8 2 2" xfId="23829" xr:uid="{C8D968FA-D349-46C4-943F-54B7BB822DC0}"/>
    <cellStyle name="Normal 5 4 2 8 2 3" xfId="15388" xr:uid="{92E3B616-073B-4815-8857-591A62C72451}"/>
    <cellStyle name="Normal 5 4 2 8 3" xfId="19611" xr:uid="{8C773C64-E2A0-4673-80C9-5A8566F34D86}"/>
    <cellStyle name="Normal 5 4 2 8 4" xfId="11159" xr:uid="{A3433162-2D05-46F1-8F09-87F607F9AB0C}"/>
    <cellStyle name="Normal 5 4 2 9" xfId="4829" xr:uid="{00000000-0005-0000-0000-0000FD1A0000}"/>
    <cellStyle name="Normal 5 4 2 9 2" xfId="21764" xr:uid="{68F2EFB8-A406-44C0-93DD-38BEBAAD5C59}"/>
    <cellStyle name="Normal 5 4 2 9 3" xfId="13323" xr:uid="{A2691DF7-E4E2-44C9-9DD7-A1F43927F5B8}"/>
    <cellStyle name="Normal 5 4 3" xfId="461" xr:uid="{00000000-0005-0000-0000-0000FE1A0000}"/>
    <cellStyle name="Normal 5 4 3 10" xfId="9075" xr:uid="{EB1F34BB-996C-4561-B55A-8BD6192C434F}"/>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4327" xr:uid="{B53264C6-17A9-441E-9AE1-8F87D1699810}"/>
    <cellStyle name="Normal 5 4 3 2 2 2 2 3" xfId="15886" xr:uid="{45C00B82-DE33-4850-AD97-138D5EF7C845}"/>
    <cellStyle name="Normal 5 4 3 2 2 2 3" xfId="20109" xr:uid="{6BCB9065-29AF-47F5-B15B-7EFD8157DB38}"/>
    <cellStyle name="Normal 5 4 3 2 2 2 4" xfId="11667" xr:uid="{B8998B2A-C384-4D8E-8D1A-B267BFEFC843}"/>
    <cellStyle name="Normal 5 4 3 2 2 3" xfId="5247" xr:uid="{00000000-0005-0000-0000-0000031B0000}"/>
    <cellStyle name="Normal 5 4 3 2 2 3 2" xfId="22182" xr:uid="{C02EBD52-CA5C-410B-8C43-E3C9230E2917}"/>
    <cellStyle name="Normal 5 4 3 2 2 3 3" xfId="13741" xr:uid="{6CC33310-9B85-4A6D-8A2D-086C6E5555D4}"/>
    <cellStyle name="Normal 5 4 3 2 2 4" xfId="17964" xr:uid="{6ECD719B-8353-4665-851A-6BD829D69625}"/>
    <cellStyle name="Normal 5 4 3 2 2 5" xfId="9490" xr:uid="{DFE8BC3D-F58D-4F21-B9CF-B9823A2E0AF9}"/>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4740" xr:uid="{23137EA8-9FE1-4A1F-A067-E2743C2750F9}"/>
    <cellStyle name="Normal 5 4 3 2 3 2 2 3" xfId="16299" xr:uid="{10C786B6-D5EB-441D-8E35-D3DA4B0F32F4}"/>
    <cellStyle name="Normal 5 4 3 2 3 2 3" xfId="20522" xr:uid="{84A973C9-0DE4-4221-AFED-0DF7E3056B25}"/>
    <cellStyle name="Normal 5 4 3 2 3 2 4" xfId="12080" xr:uid="{CE563DF8-E884-4379-A4FD-EA3C80A1AAC4}"/>
    <cellStyle name="Normal 5 4 3 2 3 3" xfId="5660" xr:uid="{00000000-0005-0000-0000-0000071B0000}"/>
    <cellStyle name="Normal 5 4 3 2 3 3 2" xfId="22595" xr:uid="{24FCD05A-5002-4099-A4ED-EF7F77BACB12}"/>
    <cellStyle name="Normal 5 4 3 2 3 3 3" xfId="14154" xr:uid="{BFD23EED-28C4-42C8-B414-67A4D1535475}"/>
    <cellStyle name="Normal 5 4 3 2 3 4" xfId="18377" xr:uid="{379B9E9A-9820-4A74-84D9-61F1CF32230D}"/>
    <cellStyle name="Normal 5 4 3 2 3 5" xfId="9903" xr:uid="{6E4D32E8-3208-4B9D-9A0D-F487C959E287}"/>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153" xr:uid="{945AA849-A882-4292-8855-0B5CBE94CF3A}"/>
    <cellStyle name="Normal 5 4 3 2 4 2 2 3" xfId="16712" xr:uid="{C50CE540-FAD6-44D6-80D0-7B20E73811EE}"/>
    <cellStyle name="Normal 5 4 3 2 4 2 3" xfId="20935" xr:uid="{1E9BEB6E-7CD1-4762-8CA0-E7C7F4C23E03}"/>
    <cellStyle name="Normal 5 4 3 2 4 2 4" xfId="12493" xr:uid="{57DF75F6-122A-4DE3-84BF-1FA107D1F911}"/>
    <cellStyle name="Normal 5 4 3 2 4 3" xfId="6073" xr:uid="{00000000-0005-0000-0000-00000B1B0000}"/>
    <cellStyle name="Normal 5 4 3 2 4 3 2" xfId="23008" xr:uid="{A447D335-09FA-465C-84EE-764CD39EA49D}"/>
    <cellStyle name="Normal 5 4 3 2 4 3 3" xfId="14567" xr:uid="{CCE82648-503B-4414-B562-8D710D859BAD}"/>
    <cellStyle name="Normal 5 4 3 2 4 4" xfId="18790" xr:uid="{2E84C9EF-D36E-4932-870E-1D89E727DCA2}"/>
    <cellStyle name="Normal 5 4 3 2 4 5" xfId="10316" xr:uid="{1C361F10-4B90-4AA6-BF03-29E11ED6DAAC}"/>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5566" xr:uid="{B808ED47-E8B8-4CBA-8BED-0139BA1EDF7B}"/>
    <cellStyle name="Normal 5 4 3 2 5 2 2 3" xfId="17125" xr:uid="{5B864AC3-8497-42D2-B3CF-1A82F5F5ABAB}"/>
    <cellStyle name="Normal 5 4 3 2 5 2 3" xfId="21348" xr:uid="{2475B711-8975-4DF3-9594-EDA49C786D74}"/>
    <cellStyle name="Normal 5 4 3 2 5 2 4" xfId="12906" xr:uid="{9E16F8AC-2D74-40AF-88EB-18B39732B674}"/>
    <cellStyle name="Normal 5 4 3 2 5 3" xfId="6486" xr:uid="{00000000-0005-0000-0000-00000F1B0000}"/>
    <cellStyle name="Normal 5 4 3 2 5 3 2" xfId="23421" xr:uid="{266BB199-63A3-445A-8CA7-696ECA499E1A}"/>
    <cellStyle name="Normal 5 4 3 2 5 3 3" xfId="14980" xr:uid="{F6BA35B3-BE02-4754-8A50-4488B1FEA19B}"/>
    <cellStyle name="Normal 5 4 3 2 5 4" xfId="19203" xr:uid="{92981D7F-2CBE-4EF9-AB13-1C9F10A96B19}"/>
    <cellStyle name="Normal 5 4 3 2 5 5" xfId="10729" xr:uid="{8176D242-8690-42E1-A0AD-80F944636FE9}"/>
    <cellStyle name="Normal 5 4 3 2 6" xfId="2616" xr:uid="{00000000-0005-0000-0000-0000101B0000}"/>
    <cellStyle name="Normal 5 4 3 2 6 2" xfId="6899" xr:uid="{00000000-0005-0000-0000-0000111B0000}"/>
    <cellStyle name="Normal 5 4 3 2 6 2 2" xfId="23834" xr:uid="{86F9B841-2A64-4B44-A6FA-6DC58272F48F}"/>
    <cellStyle name="Normal 5 4 3 2 6 2 3" xfId="15393" xr:uid="{2555EBB2-9A9E-472F-B4B5-98A39037DA24}"/>
    <cellStyle name="Normal 5 4 3 2 6 3" xfId="19616" xr:uid="{D635C2E3-3937-42B8-AE26-870C67FB847D}"/>
    <cellStyle name="Normal 5 4 3 2 6 4" xfId="11164" xr:uid="{EE614DEC-DBE3-4467-9E21-16E22E39D038}"/>
    <cellStyle name="Normal 5 4 3 2 7" xfId="4834" xr:uid="{00000000-0005-0000-0000-0000121B0000}"/>
    <cellStyle name="Normal 5 4 3 2 7 2" xfId="21769" xr:uid="{DCC2E432-68B9-43CA-B651-94F9D696A70E}"/>
    <cellStyle name="Normal 5 4 3 2 7 3" xfId="13328" xr:uid="{9F68B9BA-4DD5-4ECF-9DF3-6DAA48130452}"/>
    <cellStyle name="Normal 5 4 3 2 8" xfId="17551" xr:uid="{C2AA0FE9-565B-47FD-824A-0D7F3D500B62}"/>
    <cellStyle name="Normal 5 4 3 2 9" xfId="9076" xr:uid="{5D157194-CF7A-4B43-9FE8-616BDA71DF88}"/>
    <cellStyle name="Normal 5 4 3 3" xfId="935" xr:uid="{00000000-0005-0000-0000-0000131B0000}"/>
    <cellStyle name="Normal 5 4 3 3 2" xfId="3169" xr:uid="{00000000-0005-0000-0000-0000141B0000}"/>
    <cellStyle name="Normal 5 4 3 3 2 2" xfId="7391" xr:uid="{00000000-0005-0000-0000-0000151B0000}"/>
    <cellStyle name="Normal 5 4 3 3 2 2 2" xfId="24326" xr:uid="{25B208A8-2ABE-4C92-A89C-36088DC9654A}"/>
    <cellStyle name="Normal 5 4 3 3 2 2 3" xfId="15885" xr:uid="{C07A2496-801A-4706-9007-6A81775F6565}"/>
    <cellStyle name="Normal 5 4 3 3 2 3" xfId="20108" xr:uid="{59C7280E-0434-442E-BD4B-DCA74C69FE23}"/>
    <cellStyle name="Normal 5 4 3 3 2 4" xfId="11666" xr:uid="{9D351736-2429-4B67-A26D-49EDD0CF9B77}"/>
    <cellStyle name="Normal 5 4 3 3 3" xfId="5246" xr:uid="{00000000-0005-0000-0000-0000161B0000}"/>
    <cellStyle name="Normal 5 4 3 3 3 2" xfId="22181" xr:uid="{BFCE21F9-6A6F-45E5-8300-7750E1F627FB}"/>
    <cellStyle name="Normal 5 4 3 3 3 3" xfId="13740" xr:uid="{508B49FD-3955-4579-8A67-37BFDD1D7791}"/>
    <cellStyle name="Normal 5 4 3 3 4" xfId="17963" xr:uid="{057A6339-AD95-4EFA-A21B-60B458F90353}"/>
    <cellStyle name="Normal 5 4 3 3 5" xfId="9489" xr:uid="{494557D0-623F-4B67-A273-07350F3C7066}"/>
    <cellStyle name="Normal 5 4 3 4" xfId="1352" xr:uid="{00000000-0005-0000-0000-0000171B0000}"/>
    <cellStyle name="Normal 5 4 3 4 2" xfId="3582" xr:uid="{00000000-0005-0000-0000-0000181B0000}"/>
    <cellStyle name="Normal 5 4 3 4 2 2" xfId="7804" xr:uid="{00000000-0005-0000-0000-0000191B0000}"/>
    <cellStyle name="Normal 5 4 3 4 2 2 2" xfId="24739" xr:uid="{42CADF85-2276-43FF-8444-AF258DFAA2BF}"/>
    <cellStyle name="Normal 5 4 3 4 2 2 3" xfId="16298" xr:uid="{D803E0A4-26BE-4AE2-B302-77DCB4257B66}"/>
    <cellStyle name="Normal 5 4 3 4 2 3" xfId="20521" xr:uid="{9C323924-0E60-4672-AEBD-125EA821716B}"/>
    <cellStyle name="Normal 5 4 3 4 2 4" xfId="12079" xr:uid="{10C5D4B8-DB83-440E-9261-E0E2BB2AE109}"/>
    <cellStyle name="Normal 5 4 3 4 3" xfId="5659" xr:uid="{00000000-0005-0000-0000-00001A1B0000}"/>
    <cellStyle name="Normal 5 4 3 4 3 2" xfId="22594" xr:uid="{ABD71F15-AEF5-4757-8432-E1B2D0553828}"/>
    <cellStyle name="Normal 5 4 3 4 3 3" xfId="14153" xr:uid="{B414AE37-0191-4667-AC7D-FD0645157917}"/>
    <cellStyle name="Normal 5 4 3 4 4" xfId="18376" xr:uid="{681F77CC-BB23-4A57-887F-2C7D4745C792}"/>
    <cellStyle name="Normal 5 4 3 4 5" xfId="9902" xr:uid="{C7CE6B3D-9F23-48C4-BCFA-04BD21B1A4B9}"/>
    <cellStyle name="Normal 5 4 3 5" xfId="1765" xr:uid="{00000000-0005-0000-0000-00001B1B0000}"/>
    <cellStyle name="Normal 5 4 3 5 2" xfId="3995" xr:uid="{00000000-0005-0000-0000-00001C1B0000}"/>
    <cellStyle name="Normal 5 4 3 5 2 2" xfId="8217" xr:uid="{00000000-0005-0000-0000-00001D1B0000}"/>
    <cellStyle name="Normal 5 4 3 5 2 2 2" xfId="25152" xr:uid="{E1F43BC5-5823-4C54-AF20-ABBFE2EA3FA5}"/>
    <cellStyle name="Normal 5 4 3 5 2 2 3" xfId="16711" xr:uid="{B059E7E2-2A3B-4954-A634-6ACB05D4285E}"/>
    <cellStyle name="Normal 5 4 3 5 2 3" xfId="20934" xr:uid="{8C8DF0D4-BBFA-4F88-B069-5CDFABBC5080}"/>
    <cellStyle name="Normal 5 4 3 5 2 4" xfId="12492" xr:uid="{6264DD8F-835F-4C6B-95C0-9A3624EF850F}"/>
    <cellStyle name="Normal 5 4 3 5 3" xfId="6072" xr:uid="{00000000-0005-0000-0000-00001E1B0000}"/>
    <cellStyle name="Normal 5 4 3 5 3 2" xfId="23007" xr:uid="{68B5E995-FF39-4F54-A087-CEB6C1EB6B8F}"/>
    <cellStyle name="Normal 5 4 3 5 3 3" xfId="14566" xr:uid="{9EB62E7D-3F08-4AE5-9AE3-63BAD40C51F9}"/>
    <cellStyle name="Normal 5 4 3 5 4" xfId="18789" xr:uid="{B5477915-10CA-4925-99DD-0644A0D5A60C}"/>
    <cellStyle name="Normal 5 4 3 5 5" xfId="10315" xr:uid="{9EA43BCD-032A-4F28-A0CD-0FF549878404}"/>
    <cellStyle name="Normal 5 4 3 6" xfId="2179" xr:uid="{00000000-0005-0000-0000-00001F1B0000}"/>
    <cellStyle name="Normal 5 4 3 6 2" xfId="4408" xr:uid="{00000000-0005-0000-0000-0000201B0000}"/>
    <cellStyle name="Normal 5 4 3 6 2 2" xfId="8630" xr:uid="{00000000-0005-0000-0000-0000211B0000}"/>
    <cellStyle name="Normal 5 4 3 6 2 2 2" xfId="25565" xr:uid="{86235ECB-AA2F-4502-B25D-2B72E243CDB1}"/>
    <cellStyle name="Normal 5 4 3 6 2 2 3" xfId="17124" xr:uid="{CD880113-CF41-457B-964B-DD40D9BADB43}"/>
    <cellStyle name="Normal 5 4 3 6 2 3" xfId="21347" xr:uid="{626BFB36-3964-4D01-A8A3-896647BBFA47}"/>
    <cellStyle name="Normal 5 4 3 6 2 4" xfId="12905" xr:uid="{1FD18646-D7ED-4A71-965F-3B19A70BF8E7}"/>
    <cellStyle name="Normal 5 4 3 6 3" xfId="6485" xr:uid="{00000000-0005-0000-0000-0000221B0000}"/>
    <cellStyle name="Normal 5 4 3 6 3 2" xfId="23420" xr:uid="{F6894E4F-3152-44CF-8D2F-AABC2EF9351C}"/>
    <cellStyle name="Normal 5 4 3 6 3 3" xfId="14979" xr:uid="{CDA86D5E-1390-42EF-9F1F-65EEA55B84BB}"/>
    <cellStyle name="Normal 5 4 3 6 4" xfId="19202" xr:uid="{1D55473B-33EE-4F68-A82D-2659CE4B50BA}"/>
    <cellStyle name="Normal 5 4 3 6 5" xfId="10728" xr:uid="{58DAFCF6-9797-465C-856D-AC5DD97CAA24}"/>
    <cellStyle name="Normal 5 4 3 7" xfId="2615" xr:uid="{00000000-0005-0000-0000-0000231B0000}"/>
    <cellStyle name="Normal 5 4 3 7 2" xfId="6898" xr:uid="{00000000-0005-0000-0000-0000241B0000}"/>
    <cellStyle name="Normal 5 4 3 7 2 2" xfId="23833" xr:uid="{6834CB72-B5F8-4A8A-A237-12A3A9C5D7AD}"/>
    <cellStyle name="Normal 5 4 3 7 2 3" xfId="15392" xr:uid="{BDF1F426-089B-4DFC-AC05-959E3EC9EE0D}"/>
    <cellStyle name="Normal 5 4 3 7 3" xfId="19615" xr:uid="{CA14DA0F-EF5E-4CC7-B032-4F0E935B4E57}"/>
    <cellStyle name="Normal 5 4 3 7 4" xfId="11163" xr:uid="{42B06E76-4F1C-4B75-ACEE-A78912BFDCDC}"/>
    <cellStyle name="Normal 5 4 3 8" xfId="4833" xr:uid="{00000000-0005-0000-0000-0000251B0000}"/>
    <cellStyle name="Normal 5 4 3 8 2" xfId="21768" xr:uid="{62AAD579-42C1-49AE-A999-6D25E3EBE468}"/>
    <cellStyle name="Normal 5 4 3 8 3" xfId="13327" xr:uid="{F647ACE2-96C9-48C1-81A6-44B3C6E5BA22}"/>
    <cellStyle name="Normal 5 4 3 9" xfId="17550" xr:uid="{E63BAED6-D101-4AB0-9405-0AC17E5350F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4328" xr:uid="{9FDC0077-2C82-4620-BBFC-06EC40DC6B64}"/>
    <cellStyle name="Normal 5 4 4 2 2 2 3" xfId="15887" xr:uid="{E246D26D-9091-423C-9E7D-FC41CA56964A}"/>
    <cellStyle name="Normal 5 4 4 2 2 3" xfId="20110" xr:uid="{F67B8DB6-74ED-473C-9975-B6F7A345C3C5}"/>
    <cellStyle name="Normal 5 4 4 2 2 4" xfId="11668" xr:uid="{258232C9-59E9-411C-8341-797FB1E85B74}"/>
    <cellStyle name="Normal 5 4 4 2 3" xfId="5248" xr:uid="{00000000-0005-0000-0000-00002A1B0000}"/>
    <cellStyle name="Normal 5 4 4 2 3 2" xfId="22183" xr:uid="{17C6FB02-664A-4983-BC07-7A08221093C5}"/>
    <cellStyle name="Normal 5 4 4 2 3 3" xfId="13742" xr:uid="{16FBE949-CF14-49AD-AF9B-0EC646FA1376}"/>
    <cellStyle name="Normal 5 4 4 2 4" xfId="17965" xr:uid="{E3FE2885-FF02-4B68-BA79-4D5B2DFD443D}"/>
    <cellStyle name="Normal 5 4 4 2 5" xfId="9491" xr:uid="{FACD90CE-0295-407A-9A9D-A1013B9F6709}"/>
    <cellStyle name="Normal 5 4 4 3" xfId="1354" xr:uid="{00000000-0005-0000-0000-00002B1B0000}"/>
    <cellStyle name="Normal 5 4 4 3 2" xfId="3584" xr:uid="{00000000-0005-0000-0000-00002C1B0000}"/>
    <cellStyle name="Normal 5 4 4 3 2 2" xfId="7806" xr:uid="{00000000-0005-0000-0000-00002D1B0000}"/>
    <cellStyle name="Normal 5 4 4 3 2 2 2" xfId="24741" xr:uid="{69C3B960-1BBC-45D0-AA85-BD75A772AF9B}"/>
    <cellStyle name="Normal 5 4 4 3 2 2 3" xfId="16300" xr:uid="{1B86EC46-B648-4883-B103-7BB3CA26D858}"/>
    <cellStyle name="Normal 5 4 4 3 2 3" xfId="20523" xr:uid="{9537F302-068F-4603-93F7-70EDD7338FCA}"/>
    <cellStyle name="Normal 5 4 4 3 2 4" xfId="12081" xr:uid="{CA50B9B4-56F0-4FF3-B9ED-58D084B6716F}"/>
    <cellStyle name="Normal 5 4 4 3 3" xfId="5661" xr:uid="{00000000-0005-0000-0000-00002E1B0000}"/>
    <cellStyle name="Normal 5 4 4 3 3 2" xfId="22596" xr:uid="{CC11D039-061C-4C5E-B1FB-2F15642B0FA7}"/>
    <cellStyle name="Normal 5 4 4 3 3 3" xfId="14155" xr:uid="{A0B3FC84-AEC5-44AE-95D5-418FA9F075B2}"/>
    <cellStyle name="Normal 5 4 4 3 4" xfId="18378" xr:uid="{765F0FFD-813C-4AF0-9BEF-9EAF3BE4DE9C}"/>
    <cellStyle name="Normal 5 4 4 3 5" xfId="9904" xr:uid="{2D21BE99-3207-4162-87A1-1EF848123B4C}"/>
    <cellStyle name="Normal 5 4 4 4" xfId="1767" xr:uid="{00000000-0005-0000-0000-00002F1B0000}"/>
    <cellStyle name="Normal 5 4 4 4 2" xfId="3997" xr:uid="{00000000-0005-0000-0000-0000301B0000}"/>
    <cellStyle name="Normal 5 4 4 4 2 2" xfId="8219" xr:uid="{00000000-0005-0000-0000-0000311B0000}"/>
    <cellStyle name="Normal 5 4 4 4 2 2 2" xfId="25154" xr:uid="{D34F8F28-DA79-4FA8-9C8D-64FE3B32587A}"/>
    <cellStyle name="Normal 5 4 4 4 2 2 3" xfId="16713" xr:uid="{EC96B3D9-5F49-4783-B626-F4A050BFB58E}"/>
    <cellStyle name="Normal 5 4 4 4 2 3" xfId="20936" xr:uid="{9B4FDEDD-18D4-4CCA-B416-9CBCA0720053}"/>
    <cellStyle name="Normal 5 4 4 4 2 4" xfId="12494" xr:uid="{5BB00CA4-FF96-498F-8392-9CED8B578374}"/>
    <cellStyle name="Normal 5 4 4 4 3" xfId="6074" xr:uid="{00000000-0005-0000-0000-0000321B0000}"/>
    <cellStyle name="Normal 5 4 4 4 3 2" xfId="23009" xr:uid="{613FC382-2B9C-47A6-B4BC-20341582826B}"/>
    <cellStyle name="Normal 5 4 4 4 3 3" xfId="14568" xr:uid="{2357866D-CBF6-47DC-8172-8834BB17E5BC}"/>
    <cellStyle name="Normal 5 4 4 4 4" xfId="18791" xr:uid="{E7B2AFDF-D8E5-41A3-B327-008BB816F750}"/>
    <cellStyle name="Normal 5 4 4 4 5" xfId="10317" xr:uid="{FA193059-7C6E-4B79-9893-C6BCF014ABA4}"/>
    <cellStyle name="Normal 5 4 4 5" xfId="2181" xr:uid="{00000000-0005-0000-0000-0000331B0000}"/>
    <cellStyle name="Normal 5 4 4 5 2" xfId="4410" xr:uid="{00000000-0005-0000-0000-0000341B0000}"/>
    <cellStyle name="Normal 5 4 4 5 2 2" xfId="8632" xr:uid="{00000000-0005-0000-0000-0000351B0000}"/>
    <cellStyle name="Normal 5 4 4 5 2 2 2" xfId="25567" xr:uid="{6EE4E56F-50B7-4A87-BA61-E090B951CF62}"/>
    <cellStyle name="Normal 5 4 4 5 2 2 3" xfId="17126" xr:uid="{68FB8508-E4BF-43E9-B5B4-9228CBF14E69}"/>
    <cellStyle name="Normal 5 4 4 5 2 3" xfId="21349" xr:uid="{F466939E-2815-42DE-865D-30883163C74B}"/>
    <cellStyle name="Normal 5 4 4 5 2 4" xfId="12907" xr:uid="{72783BE5-19B3-4984-BDF2-151604B7FB19}"/>
    <cellStyle name="Normal 5 4 4 5 3" xfId="6487" xr:uid="{00000000-0005-0000-0000-0000361B0000}"/>
    <cellStyle name="Normal 5 4 4 5 3 2" xfId="23422" xr:uid="{FDC31FC7-13C5-4865-87FE-D5FA0B690E73}"/>
    <cellStyle name="Normal 5 4 4 5 3 3" xfId="14981" xr:uid="{DE944EA0-C11F-4F00-9021-1AF80B6B8892}"/>
    <cellStyle name="Normal 5 4 4 5 4" xfId="19204" xr:uid="{BA761028-DEC1-4931-9A94-FB347C5501E6}"/>
    <cellStyle name="Normal 5 4 4 5 5" xfId="10730" xr:uid="{F6A9B49A-BA89-49BA-816B-0ECC077AD014}"/>
    <cellStyle name="Normal 5 4 4 6" xfId="2617" xr:uid="{00000000-0005-0000-0000-0000371B0000}"/>
    <cellStyle name="Normal 5 4 4 6 2" xfId="6900" xr:uid="{00000000-0005-0000-0000-0000381B0000}"/>
    <cellStyle name="Normal 5 4 4 6 2 2" xfId="23835" xr:uid="{2EAD0645-2DE7-4D6E-8A37-462DED158EE4}"/>
    <cellStyle name="Normal 5 4 4 6 2 3" xfId="15394" xr:uid="{20D3160A-E8A1-4D61-B4AC-B39456CA781F}"/>
    <cellStyle name="Normal 5 4 4 6 3" xfId="19617" xr:uid="{D91A19A9-0E81-49E2-A323-799F743F8BFE}"/>
    <cellStyle name="Normal 5 4 4 6 4" xfId="11165" xr:uid="{18A07FD2-4A48-4A4A-BA59-E835C1AA32FA}"/>
    <cellStyle name="Normal 5 4 4 7" xfId="4835" xr:uid="{00000000-0005-0000-0000-0000391B0000}"/>
    <cellStyle name="Normal 5 4 4 7 2" xfId="21770" xr:uid="{39177C79-1904-4E15-863F-D11C4E13E03F}"/>
    <cellStyle name="Normal 5 4 4 7 3" xfId="13329" xr:uid="{BC5DEADF-6CEF-47C2-8311-FE7EAA5F673B}"/>
    <cellStyle name="Normal 5 4 4 8" xfId="17552" xr:uid="{598CA7E6-D609-406D-9C95-300EB47E8863}"/>
    <cellStyle name="Normal 5 4 4 9" xfId="9077" xr:uid="{7134DB17-BCAE-4C1D-903F-87C0266144DF}"/>
    <cellStyle name="Normal 5 4 5" xfId="930" xr:uid="{00000000-0005-0000-0000-00003A1B0000}"/>
    <cellStyle name="Normal 5 4 5 2" xfId="3164" xr:uid="{00000000-0005-0000-0000-00003B1B0000}"/>
    <cellStyle name="Normal 5 4 5 2 2" xfId="7386" xr:uid="{00000000-0005-0000-0000-00003C1B0000}"/>
    <cellStyle name="Normal 5 4 5 2 2 2" xfId="24321" xr:uid="{5D565D94-6EC3-48DC-BBA7-3EB083E14488}"/>
    <cellStyle name="Normal 5 4 5 2 2 3" xfId="15880" xr:uid="{BABEA608-3DAF-41EA-9572-593AB4E1C19E}"/>
    <cellStyle name="Normal 5 4 5 2 3" xfId="20103" xr:uid="{EFA09EB1-5964-4BAB-A77C-B9C44915A0BA}"/>
    <cellStyle name="Normal 5 4 5 2 4" xfId="11661" xr:uid="{AC7686CE-FB05-4558-B8DE-079970190FD9}"/>
    <cellStyle name="Normal 5 4 5 3" xfId="5241" xr:uid="{00000000-0005-0000-0000-00003D1B0000}"/>
    <cellStyle name="Normal 5 4 5 3 2" xfId="22176" xr:uid="{2C36DDCA-CCCD-4946-88B9-B7826CF8DA5B}"/>
    <cellStyle name="Normal 5 4 5 3 3" xfId="13735" xr:uid="{D1865292-8A34-4B0B-81AD-0D9DE48CD79F}"/>
    <cellStyle name="Normal 5 4 5 4" xfId="17958" xr:uid="{4618ACF0-FD40-4CB4-B661-960489B2A372}"/>
    <cellStyle name="Normal 5 4 5 5" xfId="9484" xr:uid="{44F80F6F-E12D-497A-A164-94B09C252345}"/>
    <cellStyle name="Normal 5 4 6" xfId="1347" xr:uid="{00000000-0005-0000-0000-00003E1B0000}"/>
    <cellStyle name="Normal 5 4 6 2" xfId="3577" xr:uid="{00000000-0005-0000-0000-00003F1B0000}"/>
    <cellStyle name="Normal 5 4 6 2 2" xfId="7799" xr:uid="{00000000-0005-0000-0000-0000401B0000}"/>
    <cellStyle name="Normal 5 4 6 2 2 2" xfId="24734" xr:uid="{20FECFA4-0967-44F7-8CAE-7AC04596ADEB}"/>
    <cellStyle name="Normal 5 4 6 2 2 3" xfId="16293" xr:uid="{CA913AF8-C649-4A36-8767-77C8541B3D66}"/>
    <cellStyle name="Normal 5 4 6 2 3" xfId="20516" xr:uid="{25827FEE-9817-4728-AC0F-A40C8A85F609}"/>
    <cellStyle name="Normal 5 4 6 2 4" xfId="12074" xr:uid="{55564F0C-99D6-4AE0-BF82-FB3E7FFCEEDA}"/>
    <cellStyle name="Normal 5 4 6 3" xfId="5654" xr:uid="{00000000-0005-0000-0000-0000411B0000}"/>
    <cellStyle name="Normal 5 4 6 3 2" xfId="22589" xr:uid="{1F26439F-296B-44F6-9AB4-67FBC1D8E493}"/>
    <cellStyle name="Normal 5 4 6 3 3" xfId="14148" xr:uid="{6F619066-D572-4CE7-91A1-F8F35F62EC6F}"/>
    <cellStyle name="Normal 5 4 6 4" xfId="18371" xr:uid="{ADD7A9F4-E8CE-4F60-A2F4-B86B991DCFF8}"/>
    <cellStyle name="Normal 5 4 6 5" xfId="9897" xr:uid="{98D36D12-D779-4B99-B2F2-3393A30F2D42}"/>
    <cellStyle name="Normal 5 4 7" xfId="1760" xr:uid="{00000000-0005-0000-0000-0000421B0000}"/>
    <cellStyle name="Normal 5 4 7 2" xfId="3990" xr:uid="{00000000-0005-0000-0000-0000431B0000}"/>
    <cellStyle name="Normal 5 4 7 2 2" xfId="8212" xr:uid="{00000000-0005-0000-0000-0000441B0000}"/>
    <cellStyle name="Normal 5 4 7 2 2 2" xfId="25147" xr:uid="{028BA8A8-B733-4AB3-91A8-5AB1E8611B1E}"/>
    <cellStyle name="Normal 5 4 7 2 2 3" xfId="16706" xr:uid="{683FF6CC-243F-4804-893D-2653C6CBEC5C}"/>
    <cellStyle name="Normal 5 4 7 2 3" xfId="20929" xr:uid="{FF3EAE11-0AC8-43DC-8DAA-26DAEA611468}"/>
    <cellStyle name="Normal 5 4 7 2 4" xfId="12487" xr:uid="{8228E23F-B769-4401-9502-A6EA16519724}"/>
    <cellStyle name="Normal 5 4 7 3" xfId="6067" xr:uid="{00000000-0005-0000-0000-0000451B0000}"/>
    <cellStyle name="Normal 5 4 7 3 2" xfId="23002" xr:uid="{CEBF0FE9-4D08-4233-84CD-3758A864A122}"/>
    <cellStyle name="Normal 5 4 7 3 3" xfId="14561" xr:uid="{C47908D7-06FC-427C-B8C2-3829EFFF2D2E}"/>
    <cellStyle name="Normal 5 4 7 4" xfId="18784" xr:uid="{7936A290-0107-4D97-94DA-A2089F1FD6DB}"/>
    <cellStyle name="Normal 5 4 7 5" xfId="10310" xr:uid="{417F910C-34DE-46DC-A5A7-2B66134DCAA8}"/>
    <cellStyle name="Normal 5 4 8" xfId="2174" xr:uid="{00000000-0005-0000-0000-0000461B0000}"/>
    <cellStyle name="Normal 5 4 8 2" xfId="4403" xr:uid="{00000000-0005-0000-0000-0000471B0000}"/>
    <cellStyle name="Normal 5 4 8 2 2" xfId="8625" xr:uid="{00000000-0005-0000-0000-0000481B0000}"/>
    <cellStyle name="Normal 5 4 8 2 2 2" xfId="25560" xr:uid="{B4CAC256-2BFE-440F-A9BA-0B7075CD7B32}"/>
    <cellStyle name="Normal 5 4 8 2 2 3" xfId="17119" xr:uid="{8F7C3CC2-C29B-466C-BF38-CBAAD6FA50F3}"/>
    <cellStyle name="Normal 5 4 8 2 3" xfId="21342" xr:uid="{D139465A-1651-414F-A62B-1A089B380B96}"/>
    <cellStyle name="Normal 5 4 8 2 4" xfId="12900" xr:uid="{5B003C51-8C31-4C65-8C6A-C08D389F00FB}"/>
    <cellStyle name="Normal 5 4 8 3" xfId="6480" xr:uid="{00000000-0005-0000-0000-0000491B0000}"/>
    <cellStyle name="Normal 5 4 8 3 2" xfId="23415" xr:uid="{35FAD520-CB31-4D0F-82D9-CE2368EB45E2}"/>
    <cellStyle name="Normal 5 4 8 3 3" xfId="14974" xr:uid="{3E55C472-65B2-4E0B-9D54-5DE6444DDB90}"/>
    <cellStyle name="Normal 5 4 8 4" xfId="19197" xr:uid="{EF265270-093A-4E90-B1CB-BF375B1E2ED4}"/>
    <cellStyle name="Normal 5 4 8 5" xfId="10723" xr:uid="{9D8719DD-3E13-4303-B151-C2ADA9D4086B}"/>
    <cellStyle name="Normal 5 4 9" xfId="2610" xr:uid="{00000000-0005-0000-0000-00004A1B0000}"/>
    <cellStyle name="Normal 5 4 9 2" xfId="6893" xr:uid="{00000000-0005-0000-0000-00004B1B0000}"/>
    <cellStyle name="Normal 5 4 9 2 2" xfId="23828" xr:uid="{950874CB-E230-450D-9F2C-834555F833BC}"/>
    <cellStyle name="Normal 5 4 9 2 3" xfId="15387" xr:uid="{A0E55C14-062F-43FC-BD0B-3A459AFE5F09}"/>
    <cellStyle name="Normal 5 4 9 3" xfId="19610" xr:uid="{EF9B466D-8E4E-4688-B95C-401FD39389C4}"/>
    <cellStyle name="Normal 5 4 9 4" xfId="11158" xr:uid="{C88FB393-5FCB-45AE-B562-9479EBDCE8FC}"/>
    <cellStyle name="Normal 5 5" xfId="464" xr:uid="{00000000-0005-0000-0000-00004C1B0000}"/>
    <cellStyle name="Normal 5 5 10" xfId="17553" xr:uid="{D24141B6-96DC-402E-9077-9E498AE918CC}"/>
    <cellStyle name="Normal 5 5 11" xfId="9078" xr:uid="{284C6E33-A0A7-4B21-8DC1-8E1B93291C78}"/>
    <cellStyle name="Normal 5 5 2" xfId="465" xr:uid="{00000000-0005-0000-0000-00004D1B0000}"/>
    <cellStyle name="Normal 5 5 2 10" xfId="9079" xr:uid="{82323C6A-35E6-4148-B14A-F9E648B4BAD4}"/>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4331" xr:uid="{D5CEA41A-25C9-4FDB-80F9-F0EC83D60D22}"/>
    <cellStyle name="Normal 5 5 2 2 2 2 2 3" xfId="15890" xr:uid="{D3FAF141-145E-4DF9-8389-53283B3BCACC}"/>
    <cellStyle name="Normal 5 5 2 2 2 2 3" xfId="20113" xr:uid="{E3635CF6-9BBE-4DA6-A60A-BEB2BF28A2F9}"/>
    <cellStyle name="Normal 5 5 2 2 2 2 4" xfId="11671" xr:uid="{579996F5-5383-47E3-88A4-7CF7D0E77E21}"/>
    <cellStyle name="Normal 5 5 2 2 2 3" xfId="5251" xr:uid="{00000000-0005-0000-0000-0000521B0000}"/>
    <cellStyle name="Normal 5 5 2 2 2 3 2" xfId="22186" xr:uid="{05A78323-527B-474D-912D-A575DA503D20}"/>
    <cellStyle name="Normal 5 5 2 2 2 3 3" xfId="13745" xr:uid="{2BEE62BB-CB72-4B15-835B-5F331387B634}"/>
    <cellStyle name="Normal 5 5 2 2 2 4" xfId="17968" xr:uid="{18A3A900-4EB9-425E-91BF-D02CD13BE11E}"/>
    <cellStyle name="Normal 5 5 2 2 2 5" xfId="9494" xr:uid="{626E045D-382A-4502-A724-4A6864BE6CB2}"/>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4744" xr:uid="{C5F80438-FAC1-4745-A02C-C53C9D46028B}"/>
    <cellStyle name="Normal 5 5 2 2 3 2 2 3" xfId="16303" xr:uid="{65B5B89A-2DE8-41FC-B9CE-7C516C836235}"/>
    <cellStyle name="Normal 5 5 2 2 3 2 3" xfId="20526" xr:uid="{2CF1C851-3271-4C01-9A95-73391E7401FE}"/>
    <cellStyle name="Normal 5 5 2 2 3 2 4" xfId="12084" xr:uid="{60F615D0-ED57-428E-B861-E4CDB57C7FA0}"/>
    <cellStyle name="Normal 5 5 2 2 3 3" xfId="5664" xr:uid="{00000000-0005-0000-0000-0000561B0000}"/>
    <cellStyle name="Normal 5 5 2 2 3 3 2" xfId="22599" xr:uid="{43C7D277-1817-4577-B516-EE943D34B64F}"/>
    <cellStyle name="Normal 5 5 2 2 3 3 3" xfId="14158" xr:uid="{037A3C53-A446-4645-A829-ADC1E6106A17}"/>
    <cellStyle name="Normal 5 5 2 2 3 4" xfId="18381" xr:uid="{C5FAC4EF-0274-4D59-819A-A47495E20CCF}"/>
    <cellStyle name="Normal 5 5 2 2 3 5" xfId="9907" xr:uid="{3160DF25-E22E-4872-9E95-D85CBDDF0CFA}"/>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157" xr:uid="{4F40DE2D-BB99-4D77-82A5-6B898A156AD8}"/>
    <cellStyle name="Normal 5 5 2 2 4 2 2 3" xfId="16716" xr:uid="{3C6C1CE3-8BFD-4E7A-BC6D-E58D59DED1B8}"/>
    <cellStyle name="Normal 5 5 2 2 4 2 3" xfId="20939" xr:uid="{25A2341A-C597-490C-9612-77684097626B}"/>
    <cellStyle name="Normal 5 5 2 2 4 2 4" xfId="12497" xr:uid="{A88CFF58-F962-4484-BA1F-ECBF40E0001D}"/>
    <cellStyle name="Normal 5 5 2 2 4 3" xfId="6077" xr:uid="{00000000-0005-0000-0000-00005A1B0000}"/>
    <cellStyle name="Normal 5 5 2 2 4 3 2" xfId="23012" xr:uid="{867F1A5D-4EF6-42F9-9F2C-1A6ADC768740}"/>
    <cellStyle name="Normal 5 5 2 2 4 3 3" xfId="14571" xr:uid="{78A61FD0-4883-4DDB-A14D-42101FC29424}"/>
    <cellStyle name="Normal 5 5 2 2 4 4" xfId="18794" xr:uid="{B7B8AE8B-E4EA-49AD-A981-69B3A62B33CD}"/>
    <cellStyle name="Normal 5 5 2 2 4 5" xfId="10320" xr:uid="{E5C401DB-9E7C-410A-AA8B-1100F44DB306}"/>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5570" xr:uid="{5B38F5F8-9DD7-486D-8CEC-926A2C9A2020}"/>
    <cellStyle name="Normal 5 5 2 2 5 2 2 3" xfId="17129" xr:uid="{401A33CC-473B-4302-9A15-454977125C34}"/>
    <cellStyle name="Normal 5 5 2 2 5 2 3" xfId="21352" xr:uid="{CEDAB50C-650A-4BF4-9565-5D7B12B34CC8}"/>
    <cellStyle name="Normal 5 5 2 2 5 2 4" xfId="12910" xr:uid="{DB6F8205-23EA-423C-92B5-6CCE76A80B84}"/>
    <cellStyle name="Normal 5 5 2 2 5 3" xfId="6490" xr:uid="{00000000-0005-0000-0000-00005E1B0000}"/>
    <cellStyle name="Normal 5 5 2 2 5 3 2" xfId="23425" xr:uid="{DB160726-FFE5-4EE2-A524-5EF22CA286F3}"/>
    <cellStyle name="Normal 5 5 2 2 5 3 3" xfId="14984" xr:uid="{263BD3B8-E5B5-4173-AFC5-2538C32E0707}"/>
    <cellStyle name="Normal 5 5 2 2 5 4" xfId="19207" xr:uid="{408EF613-2187-433A-8BD4-91A6F9050FA5}"/>
    <cellStyle name="Normal 5 5 2 2 5 5" xfId="10733" xr:uid="{2DB5E06F-9233-4A43-97A1-B850C9538670}"/>
    <cellStyle name="Normal 5 5 2 2 6" xfId="2620" xr:uid="{00000000-0005-0000-0000-00005F1B0000}"/>
    <cellStyle name="Normal 5 5 2 2 6 2" xfId="6903" xr:uid="{00000000-0005-0000-0000-0000601B0000}"/>
    <cellStyle name="Normal 5 5 2 2 6 2 2" xfId="23838" xr:uid="{E4BE9FFC-27AE-41D7-8C23-1BDCF23DCCDD}"/>
    <cellStyle name="Normal 5 5 2 2 6 2 3" xfId="15397" xr:uid="{01BD0299-E975-4579-B3FC-87B397001756}"/>
    <cellStyle name="Normal 5 5 2 2 6 3" xfId="19620" xr:uid="{61AC8631-D05E-410D-B622-1A190300B182}"/>
    <cellStyle name="Normal 5 5 2 2 6 4" xfId="11168" xr:uid="{69E9AC3E-60A3-40E3-968D-32268CA941DF}"/>
    <cellStyle name="Normal 5 5 2 2 7" xfId="4838" xr:uid="{00000000-0005-0000-0000-0000611B0000}"/>
    <cellStyle name="Normal 5 5 2 2 7 2" xfId="21773" xr:uid="{91E4E41A-02BA-4A9B-A06D-7100692D7CFF}"/>
    <cellStyle name="Normal 5 5 2 2 7 3" xfId="13332" xr:uid="{AF1A7C98-C5D2-405A-8BAC-75F00DEBB0E7}"/>
    <cellStyle name="Normal 5 5 2 2 8" xfId="17555" xr:uid="{0120AF81-5607-487A-9BDA-92B081C52844}"/>
    <cellStyle name="Normal 5 5 2 2 9" xfId="9080" xr:uid="{DC4D4EFB-FBB1-4D4C-80CC-015B7F5B2214}"/>
    <cellStyle name="Normal 5 5 2 3" xfId="939" xr:uid="{00000000-0005-0000-0000-0000621B0000}"/>
    <cellStyle name="Normal 5 5 2 3 2" xfId="3173" xr:uid="{00000000-0005-0000-0000-0000631B0000}"/>
    <cellStyle name="Normal 5 5 2 3 2 2" xfId="7395" xr:uid="{00000000-0005-0000-0000-0000641B0000}"/>
    <cellStyle name="Normal 5 5 2 3 2 2 2" xfId="24330" xr:uid="{E3718EA4-D1CB-4DF5-B5F7-BEA990107E1A}"/>
    <cellStyle name="Normal 5 5 2 3 2 2 3" xfId="15889" xr:uid="{5D162A4E-870A-4394-A90C-55A4FD307A55}"/>
    <cellStyle name="Normal 5 5 2 3 2 3" xfId="20112" xr:uid="{F2357B52-92CF-40BD-BDFC-E598F9C0FD09}"/>
    <cellStyle name="Normal 5 5 2 3 2 4" xfId="11670" xr:uid="{0C69DE60-542E-4E47-86C3-A9A6578C63ED}"/>
    <cellStyle name="Normal 5 5 2 3 3" xfId="5250" xr:uid="{00000000-0005-0000-0000-0000651B0000}"/>
    <cellStyle name="Normal 5 5 2 3 3 2" xfId="22185" xr:uid="{A72FA5F3-3B7A-4692-AC45-B0915A5516FD}"/>
    <cellStyle name="Normal 5 5 2 3 3 3" xfId="13744" xr:uid="{D3D53882-A345-4E26-B3A6-79DAB4C32E0C}"/>
    <cellStyle name="Normal 5 5 2 3 4" xfId="17967" xr:uid="{C0D0766C-F0B5-48CE-ADB2-2294D95DA79A}"/>
    <cellStyle name="Normal 5 5 2 3 5" xfId="9493" xr:uid="{5F443079-265F-4005-AA1E-E692D4EE6C01}"/>
    <cellStyle name="Normal 5 5 2 4" xfId="1356" xr:uid="{00000000-0005-0000-0000-0000661B0000}"/>
    <cellStyle name="Normal 5 5 2 4 2" xfId="3586" xr:uid="{00000000-0005-0000-0000-0000671B0000}"/>
    <cellStyle name="Normal 5 5 2 4 2 2" xfId="7808" xr:uid="{00000000-0005-0000-0000-0000681B0000}"/>
    <cellStyle name="Normal 5 5 2 4 2 2 2" xfId="24743" xr:uid="{E4D2021F-F0B1-43FA-8FF3-0DC1C52021FD}"/>
    <cellStyle name="Normal 5 5 2 4 2 2 3" xfId="16302" xr:uid="{102EA713-E0A2-40EB-B2A4-5F023BC34722}"/>
    <cellStyle name="Normal 5 5 2 4 2 3" xfId="20525" xr:uid="{3E254A2E-80D0-4188-B299-88FC68230403}"/>
    <cellStyle name="Normal 5 5 2 4 2 4" xfId="12083" xr:uid="{DB764294-4580-4607-8090-64E9F1154A46}"/>
    <cellStyle name="Normal 5 5 2 4 3" xfId="5663" xr:uid="{00000000-0005-0000-0000-0000691B0000}"/>
    <cellStyle name="Normal 5 5 2 4 3 2" xfId="22598" xr:uid="{DC796E7D-9154-480D-9BE1-51F5AC9180BF}"/>
    <cellStyle name="Normal 5 5 2 4 3 3" xfId="14157" xr:uid="{CB47A416-AC2B-4604-8F0C-D5B269EDF668}"/>
    <cellStyle name="Normal 5 5 2 4 4" xfId="18380" xr:uid="{C75FDDCD-EE54-4730-88FE-BB87A1D930F0}"/>
    <cellStyle name="Normal 5 5 2 4 5" xfId="9906" xr:uid="{F6249F7E-A295-47B3-9DC4-16199C807A00}"/>
    <cellStyle name="Normal 5 5 2 5" xfId="1769" xr:uid="{00000000-0005-0000-0000-00006A1B0000}"/>
    <cellStyle name="Normal 5 5 2 5 2" xfId="3999" xr:uid="{00000000-0005-0000-0000-00006B1B0000}"/>
    <cellStyle name="Normal 5 5 2 5 2 2" xfId="8221" xr:uid="{00000000-0005-0000-0000-00006C1B0000}"/>
    <cellStyle name="Normal 5 5 2 5 2 2 2" xfId="25156" xr:uid="{CAE04E0E-1EB9-4D9C-95A1-11DB2141D91B}"/>
    <cellStyle name="Normal 5 5 2 5 2 2 3" xfId="16715" xr:uid="{D70D147F-7F02-42B7-A9D8-445497E0473E}"/>
    <cellStyle name="Normal 5 5 2 5 2 3" xfId="20938" xr:uid="{52291C01-0DCC-4713-9C4D-E52C11659C18}"/>
    <cellStyle name="Normal 5 5 2 5 2 4" xfId="12496" xr:uid="{690D0444-3A8E-4054-8144-58C40A89F10F}"/>
    <cellStyle name="Normal 5 5 2 5 3" xfId="6076" xr:uid="{00000000-0005-0000-0000-00006D1B0000}"/>
    <cellStyle name="Normal 5 5 2 5 3 2" xfId="23011" xr:uid="{C2126D91-C812-44C5-A3E3-9B835D0F73F1}"/>
    <cellStyle name="Normal 5 5 2 5 3 3" xfId="14570" xr:uid="{4951F4D4-8B22-43FB-8460-CB20662D6373}"/>
    <cellStyle name="Normal 5 5 2 5 4" xfId="18793" xr:uid="{F1E1C57C-1E7A-4A8F-8DF8-635D651FAF9F}"/>
    <cellStyle name="Normal 5 5 2 5 5" xfId="10319" xr:uid="{1E270777-E143-4184-933F-4C2CA72E2FDE}"/>
    <cellStyle name="Normal 5 5 2 6" xfId="2183" xr:uid="{00000000-0005-0000-0000-00006E1B0000}"/>
    <cellStyle name="Normal 5 5 2 6 2" xfId="4412" xr:uid="{00000000-0005-0000-0000-00006F1B0000}"/>
    <cellStyle name="Normal 5 5 2 6 2 2" xfId="8634" xr:uid="{00000000-0005-0000-0000-0000701B0000}"/>
    <cellStyle name="Normal 5 5 2 6 2 2 2" xfId="25569" xr:uid="{0B5FEF81-3145-41DC-95D9-F417B5DC6006}"/>
    <cellStyle name="Normal 5 5 2 6 2 2 3" xfId="17128" xr:uid="{95B938BE-E895-4A5A-B4EF-FEBE3760F0DC}"/>
    <cellStyle name="Normal 5 5 2 6 2 3" xfId="21351" xr:uid="{694F9292-2305-463C-B7E7-4799D018F8CF}"/>
    <cellStyle name="Normal 5 5 2 6 2 4" xfId="12909" xr:uid="{183502A2-D78C-4A23-9247-636114454759}"/>
    <cellStyle name="Normal 5 5 2 6 3" xfId="6489" xr:uid="{00000000-0005-0000-0000-0000711B0000}"/>
    <cellStyle name="Normal 5 5 2 6 3 2" xfId="23424" xr:uid="{80BF9D13-FA40-4D52-BB7E-7D9AD819869A}"/>
    <cellStyle name="Normal 5 5 2 6 3 3" xfId="14983" xr:uid="{B978A438-1FEF-4E99-B143-5DD56212F525}"/>
    <cellStyle name="Normal 5 5 2 6 4" xfId="19206" xr:uid="{09CAD76E-35E1-4526-BE70-93381EE2CBB0}"/>
    <cellStyle name="Normal 5 5 2 6 5" xfId="10732" xr:uid="{4649F524-4327-4284-AA0E-FFCF3B5C5AE4}"/>
    <cellStyle name="Normal 5 5 2 7" xfId="2619" xr:uid="{00000000-0005-0000-0000-0000721B0000}"/>
    <cellStyle name="Normal 5 5 2 7 2" xfId="6902" xr:uid="{00000000-0005-0000-0000-0000731B0000}"/>
    <cellStyle name="Normal 5 5 2 7 2 2" xfId="23837" xr:uid="{D92C7291-185F-41BE-9E3E-291992F780B6}"/>
    <cellStyle name="Normal 5 5 2 7 2 3" xfId="15396" xr:uid="{188811A4-F0F6-4932-833E-8D7691E7159A}"/>
    <cellStyle name="Normal 5 5 2 7 3" xfId="19619" xr:uid="{E6A6DEC8-6D0E-4C78-AB4F-B5F098F8541D}"/>
    <cellStyle name="Normal 5 5 2 7 4" xfId="11167" xr:uid="{075FB2A0-3D0C-4CBE-A14F-A4B68C66AE8E}"/>
    <cellStyle name="Normal 5 5 2 8" xfId="4837" xr:uid="{00000000-0005-0000-0000-0000741B0000}"/>
    <cellStyle name="Normal 5 5 2 8 2" xfId="21772" xr:uid="{9B6C9779-B790-4708-8BF7-E46C17B68BBF}"/>
    <cellStyle name="Normal 5 5 2 8 3" xfId="13331" xr:uid="{FC002EE4-2323-41C3-A299-992D112A73A9}"/>
    <cellStyle name="Normal 5 5 2 9" xfId="17554" xr:uid="{FA4B80EB-02CF-4417-8282-9B49CB474892}"/>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4332" xr:uid="{D2A23DAB-708A-4387-B59A-D39BE2AD005C}"/>
    <cellStyle name="Normal 5 5 3 2 2 2 3" xfId="15891" xr:uid="{207C154D-E601-4B01-894E-50AB5658016D}"/>
    <cellStyle name="Normal 5 5 3 2 2 3" xfId="20114" xr:uid="{CAAE2494-A31B-475B-ADAE-A8D6FA031403}"/>
    <cellStyle name="Normal 5 5 3 2 2 4" xfId="11672" xr:uid="{76FE70BA-9316-43DB-ABF2-9580FF211D95}"/>
    <cellStyle name="Normal 5 5 3 2 3" xfId="5252" xr:uid="{00000000-0005-0000-0000-0000791B0000}"/>
    <cellStyle name="Normal 5 5 3 2 3 2" xfId="22187" xr:uid="{0006636C-D8CC-442A-9BE3-27A231228D0C}"/>
    <cellStyle name="Normal 5 5 3 2 3 3" xfId="13746" xr:uid="{6CAFE868-FA26-4C46-BBD1-99E8961A095F}"/>
    <cellStyle name="Normal 5 5 3 2 4" xfId="17969" xr:uid="{56A267AD-D41C-4C21-90E3-2AAD40CBD19D}"/>
    <cellStyle name="Normal 5 5 3 2 5" xfId="9495" xr:uid="{F922AC8D-0BDF-402C-AF71-D4C4FA1CB685}"/>
    <cellStyle name="Normal 5 5 3 3" xfId="1358" xr:uid="{00000000-0005-0000-0000-00007A1B0000}"/>
    <cellStyle name="Normal 5 5 3 3 2" xfId="3588" xr:uid="{00000000-0005-0000-0000-00007B1B0000}"/>
    <cellStyle name="Normal 5 5 3 3 2 2" xfId="7810" xr:uid="{00000000-0005-0000-0000-00007C1B0000}"/>
    <cellStyle name="Normal 5 5 3 3 2 2 2" xfId="24745" xr:uid="{8BCB5CA2-CAC5-4863-A6A0-6FB188827584}"/>
    <cellStyle name="Normal 5 5 3 3 2 2 3" xfId="16304" xr:uid="{1625861B-D21F-4BB0-A77B-1A69E0D3686B}"/>
    <cellStyle name="Normal 5 5 3 3 2 3" xfId="20527" xr:uid="{A9D84D14-2483-4751-B947-A2D752355A7F}"/>
    <cellStyle name="Normal 5 5 3 3 2 4" xfId="12085" xr:uid="{715F7179-DA05-4D0D-868B-DCD56B12AC7F}"/>
    <cellStyle name="Normal 5 5 3 3 3" xfId="5665" xr:uid="{00000000-0005-0000-0000-00007D1B0000}"/>
    <cellStyle name="Normal 5 5 3 3 3 2" xfId="22600" xr:uid="{7114ED24-B139-461D-89ED-79A6011AE28F}"/>
    <cellStyle name="Normal 5 5 3 3 3 3" xfId="14159" xr:uid="{8C8A88F0-89F7-4757-9FE5-9E6269B1C162}"/>
    <cellStyle name="Normal 5 5 3 3 4" xfId="18382" xr:uid="{6A0C83F4-E21E-45AC-B089-BBFEF9105837}"/>
    <cellStyle name="Normal 5 5 3 3 5" xfId="9908" xr:uid="{F65847E3-12A9-4375-9289-1D0161A17B01}"/>
    <cellStyle name="Normal 5 5 3 4" xfId="1771" xr:uid="{00000000-0005-0000-0000-00007E1B0000}"/>
    <cellStyle name="Normal 5 5 3 4 2" xfId="4001" xr:uid="{00000000-0005-0000-0000-00007F1B0000}"/>
    <cellStyle name="Normal 5 5 3 4 2 2" xfId="8223" xr:uid="{00000000-0005-0000-0000-0000801B0000}"/>
    <cellStyle name="Normal 5 5 3 4 2 2 2" xfId="25158" xr:uid="{99661306-50FD-48C0-8A6C-2008629B7911}"/>
    <cellStyle name="Normal 5 5 3 4 2 2 3" xfId="16717" xr:uid="{999E3626-B93A-4654-8AFE-554A8E5036B8}"/>
    <cellStyle name="Normal 5 5 3 4 2 3" xfId="20940" xr:uid="{FEE0A996-B217-454A-AA08-793C90E5CF5C}"/>
    <cellStyle name="Normal 5 5 3 4 2 4" xfId="12498" xr:uid="{EB6DD755-040F-4073-B73B-48846CF8B8FC}"/>
    <cellStyle name="Normal 5 5 3 4 3" xfId="6078" xr:uid="{00000000-0005-0000-0000-0000811B0000}"/>
    <cellStyle name="Normal 5 5 3 4 3 2" xfId="23013" xr:uid="{0309A218-00EE-4129-A9E2-D2A92A9514E8}"/>
    <cellStyle name="Normal 5 5 3 4 3 3" xfId="14572" xr:uid="{502F40CB-08A2-4E58-B376-3C09918A0F9E}"/>
    <cellStyle name="Normal 5 5 3 4 4" xfId="18795" xr:uid="{209EB377-20F4-4C17-AA37-FAC991CFD9D3}"/>
    <cellStyle name="Normal 5 5 3 4 5" xfId="10321" xr:uid="{7992198C-9568-42A8-9BC0-1F3CEDA81CB7}"/>
    <cellStyle name="Normal 5 5 3 5" xfId="2185" xr:uid="{00000000-0005-0000-0000-0000821B0000}"/>
    <cellStyle name="Normal 5 5 3 5 2" xfId="4414" xr:uid="{00000000-0005-0000-0000-0000831B0000}"/>
    <cellStyle name="Normal 5 5 3 5 2 2" xfId="8636" xr:uid="{00000000-0005-0000-0000-0000841B0000}"/>
    <cellStyle name="Normal 5 5 3 5 2 2 2" xfId="25571" xr:uid="{6D82847A-7B04-4796-A31F-DDF9E219F526}"/>
    <cellStyle name="Normal 5 5 3 5 2 2 3" xfId="17130" xr:uid="{82300359-164F-4DD9-A390-CDA706D118B2}"/>
    <cellStyle name="Normal 5 5 3 5 2 3" xfId="21353" xr:uid="{CFE3252C-AA96-4F10-B91D-FB5A088DD850}"/>
    <cellStyle name="Normal 5 5 3 5 2 4" xfId="12911" xr:uid="{764D1283-02BB-4BBB-8E38-A6D3D73A351C}"/>
    <cellStyle name="Normal 5 5 3 5 3" xfId="6491" xr:uid="{00000000-0005-0000-0000-0000851B0000}"/>
    <cellStyle name="Normal 5 5 3 5 3 2" xfId="23426" xr:uid="{13F430B9-794F-49E2-93C0-5BBCE8C821F1}"/>
    <cellStyle name="Normal 5 5 3 5 3 3" xfId="14985" xr:uid="{9441A7E0-A58C-4F54-9C86-393ECB009B58}"/>
    <cellStyle name="Normal 5 5 3 5 4" xfId="19208" xr:uid="{E5367A84-0EE7-44E7-97C2-1EF3DB45DBBB}"/>
    <cellStyle name="Normal 5 5 3 5 5" xfId="10734" xr:uid="{AAB706C4-EA1D-4926-AD7F-68E1B1EF80DC}"/>
    <cellStyle name="Normal 5 5 3 6" xfId="2621" xr:uid="{00000000-0005-0000-0000-0000861B0000}"/>
    <cellStyle name="Normal 5 5 3 6 2" xfId="6904" xr:uid="{00000000-0005-0000-0000-0000871B0000}"/>
    <cellStyle name="Normal 5 5 3 6 2 2" xfId="23839" xr:uid="{BCF1CC9E-7050-45DA-A410-7FF39ACEAE50}"/>
    <cellStyle name="Normal 5 5 3 6 2 3" xfId="15398" xr:uid="{448E3492-7DFC-4A0F-BE36-4DB5E32DBFA8}"/>
    <cellStyle name="Normal 5 5 3 6 3" xfId="19621" xr:uid="{0C51FDC3-1816-4C18-AFA9-5FA9F30FC21A}"/>
    <cellStyle name="Normal 5 5 3 6 4" xfId="11169" xr:uid="{666E89A6-3A95-4CD2-9F00-45776A99898C}"/>
    <cellStyle name="Normal 5 5 3 7" xfId="4839" xr:uid="{00000000-0005-0000-0000-0000881B0000}"/>
    <cellStyle name="Normal 5 5 3 7 2" xfId="21774" xr:uid="{C3B4250F-B15A-4683-BEE7-0B1D760B534E}"/>
    <cellStyle name="Normal 5 5 3 7 3" xfId="13333" xr:uid="{49DD5DE0-6A6A-48A2-BCEB-FB1DA6DA8878}"/>
    <cellStyle name="Normal 5 5 3 8" xfId="17556" xr:uid="{72B90694-C445-429E-86E9-EC49049707EC}"/>
    <cellStyle name="Normal 5 5 3 9" xfId="9081" xr:uid="{C59BD790-BE59-458A-B401-3B6D3D0AB775}"/>
    <cellStyle name="Normal 5 5 4" xfId="938" xr:uid="{00000000-0005-0000-0000-0000891B0000}"/>
    <cellStyle name="Normal 5 5 4 2" xfId="3172" xr:uid="{00000000-0005-0000-0000-00008A1B0000}"/>
    <cellStyle name="Normal 5 5 4 2 2" xfId="7394" xr:uid="{00000000-0005-0000-0000-00008B1B0000}"/>
    <cellStyle name="Normal 5 5 4 2 2 2" xfId="24329" xr:uid="{4BF6F0BC-56FA-4A53-8881-B14336DB890C}"/>
    <cellStyle name="Normal 5 5 4 2 2 3" xfId="15888" xr:uid="{7287508C-3CAA-4A1E-B42F-68BC10E10DAF}"/>
    <cellStyle name="Normal 5 5 4 2 3" xfId="20111" xr:uid="{B416AAC6-5C06-4EE8-B569-4CE9CE1407CF}"/>
    <cellStyle name="Normal 5 5 4 2 4" xfId="11669" xr:uid="{F1D447A2-5D54-4EC1-A9A0-DA10A6DB785A}"/>
    <cellStyle name="Normal 5 5 4 3" xfId="5249" xr:uid="{00000000-0005-0000-0000-00008C1B0000}"/>
    <cellStyle name="Normal 5 5 4 3 2" xfId="22184" xr:uid="{DDF92E31-D853-4E91-B3BF-F787A70C09C1}"/>
    <cellStyle name="Normal 5 5 4 3 3" xfId="13743" xr:uid="{8FDA4D96-85C8-4A18-A4A7-3F83749EB402}"/>
    <cellStyle name="Normal 5 5 4 4" xfId="17966" xr:uid="{0F2C199C-788E-4DA8-8813-72DFBEB64586}"/>
    <cellStyle name="Normal 5 5 4 5" xfId="9492" xr:uid="{70287322-510D-4170-85D1-CFEC7A192B86}"/>
    <cellStyle name="Normal 5 5 5" xfId="1355" xr:uid="{00000000-0005-0000-0000-00008D1B0000}"/>
    <cellStyle name="Normal 5 5 5 2" xfId="3585" xr:uid="{00000000-0005-0000-0000-00008E1B0000}"/>
    <cellStyle name="Normal 5 5 5 2 2" xfId="7807" xr:uid="{00000000-0005-0000-0000-00008F1B0000}"/>
    <cellStyle name="Normal 5 5 5 2 2 2" xfId="24742" xr:uid="{039B5F05-2472-4986-9AAD-04BF99CE1045}"/>
    <cellStyle name="Normal 5 5 5 2 2 3" xfId="16301" xr:uid="{5B8DD84B-DEC0-4F60-ACDA-4F25D9C74F48}"/>
    <cellStyle name="Normal 5 5 5 2 3" xfId="20524" xr:uid="{DA3AD62C-1C0E-4958-9790-F4F32481F3FC}"/>
    <cellStyle name="Normal 5 5 5 2 4" xfId="12082" xr:uid="{62EC8576-E8DD-4155-91B3-A75081BCA5CB}"/>
    <cellStyle name="Normal 5 5 5 3" xfId="5662" xr:uid="{00000000-0005-0000-0000-0000901B0000}"/>
    <cellStyle name="Normal 5 5 5 3 2" xfId="22597" xr:uid="{41F5C3FE-0094-4739-B81D-46C546C03E35}"/>
    <cellStyle name="Normal 5 5 5 3 3" xfId="14156" xr:uid="{6E83E4DA-1219-4D54-8C95-DB1767F302EA}"/>
    <cellStyle name="Normal 5 5 5 4" xfId="18379" xr:uid="{26F099D7-B302-44D5-8BC0-56E298142DD3}"/>
    <cellStyle name="Normal 5 5 5 5" xfId="9905" xr:uid="{FB9A6DEC-AAAD-4B76-A713-9A0E25AB4760}"/>
    <cellStyle name="Normal 5 5 6" xfId="1768" xr:uid="{00000000-0005-0000-0000-0000911B0000}"/>
    <cellStyle name="Normal 5 5 6 2" xfId="3998" xr:uid="{00000000-0005-0000-0000-0000921B0000}"/>
    <cellStyle name="Normal 5 5 6 2 2" xfId="8220" xr:uid="{00000000-0005-0000-0000-0000931B0000}"/>
    <cellStyle name="Normal 5 5 6 2 2 2" xfId="25155" xr:uid="{BDCA2FEC-506A-4F81-954B-8381B4605121}"/>
    <cellStyle name="Normal 5 5 6 2 2 3" xfId="16714" xr:uid="{ADAA203E-83D9-4590-AD58-F85DE0E9E03F}"/>
    <cellStyle name="Normal 5 5 6 2 3" xfId="20937" xr:uid="{9C33D525-4E7B-4677-85A0-6C5B6002D9CB}"/>
    <cellStyle name="Normal 5 5 6 2 4" xfId="12495" xr:uid="{FBC52749-905F-4658-9CEE-1C48A8D52CB7}"/>
    <cellStyle name="Normal 5 5 6 3" xfId="6075" xr:uid="{00000000-0005-0000-0000-0000941B0000}"/>
    <cellStyle name="Normal 5 5 6 3 2" xfId="23010" xr:uid="{701D7C42-1E87-4193-95E9-C8AD73181990}"/>
    <cellStyle name="Normal 5 5 6 3 3" xfId="14569" xr:uid="{216BED26-65E3-419B-A0D9-B99F207228FB}"/>
    <cellStyle name="Normal 5 5 6 4" xfId="18792" xr:uid="{3C0BB029-B4DD-448D-88A8-124BE1702BFD}"/>
    <cellStyle name="Normal 5 5 6 5" xfId="10318" xr:uid="{860F7C94-AFEF-46AB-AAC9-CD268771C0E9}"/>
    <cellStyle name="Normal 5 5 7" xfId="2182" xr:uid="{00000000-0005-0000-0000-0000951B0000}"/>
    <cellStyle name="Normal 5 5 7 2" xfId="4411" xr:uid="{00000000-0005-0000-0000-0000961B0000}"/>
    <cellStyle name="Normal 5 5 7 2 2" xfId="8633" xr:uid="{00000000-0005-0000-0000-0000971B0000}"/>
    <cellStyle name="Normal 5 5 7 2 2 2" xfId="25568" xr:uid="{26F0EDDE-6FB2-4226-B3CD-BC8A28D37320}"/>
    <cellStyle name="Normal 5 5 7 2 2 3" xfId="17127" xr:uid="{E9558E11-AB03-400F-82CC-BC3962C94DE2}"/>
    <cellStyle name="Normal 5 5 7 2 3" xfId="21350" xr:uid="{31AF3B56-86CA-486F-8ADB-9F03010C4892}"/>
    <cellStyle name="Normal 5 5 7 2 4" xfId="12908" xr:uid="{0F54BD65-BD2C-4512-A3D9-58D1B3C94F25}"/>
    <cellStyle name="Normal 5 5 7 3" xfId="6488" xr:uid="{00000000-0005-0000-0000-0000981B0000}"/>
    <cellStyle name="Normal 5 5 7 3 2" xfId="23423" xr:uid="{C37E575A-02A4-4862-984C-E7B524374ADF}"/>
    <cellStyle name="Normal 5 5 7 3 3" xfId="14982" xr:uid="{332D7DBC-0D30-4DBE-88E8-D7E1088B3294}"/>
    <cellStyle name="Normal 5 5 7 4" xfId="19205" xr:uid="{99BEAC8A-8086-44D2-9000-34AC0EFF9B87}"/>
    <cellStyle name="Normal 5 5 7 5" xfId="10731" xr:uid="{A08DCEFA-2C09-4C50-A086-0EB09120CD2C}"/>
    <cellStyle name="Normal 5 5 8" xfId="2618" xr:uid="{00000000-0005-0000-0000-0000991B0000}"/>
    <cellStyle name="Normal 5 5 8 2" xfId="6901" xr:uid="{00000000-0005-0000-0000-00009A1B0000}"/>
    <cellStyle name="Normal 5 5 8 2 2" xfId="23836" xr:uid="{E31BCC28-4BB8-4047-9314-E9CE1DE7BF8E}"/>
    <cellStyle name="Normal 5 5 8 2 3" xfId="15395" xr:uid="{6CAF1C64-7DE0-4E75-9CC9-7A857E12DE58}"/>
    <cellStyle name="Normal 5 5 8 3" xfId="19618" xr:uid="{F6A3364B-7EDE-43BE-9441-75800ED157C0}"/>
    <cellStyle name="Normal 5 5 8 4" xfId="11166" xr:uid="{2B097081-86BB-40E2-A5AD-E5F12E4CA453}"/>
    <cellStyle name="Normal 5 5 9" xfId="4836" xr:uid="{00000000-0005-0000-0000-00009B1B0000}"/>
    <cellStyle name="Normal 5 5 9 2" xfId="21771" xr:uid="{A819DCED-9A27-4AD2-ADB7-9F99E6CAF55B}"/>
    <cellStyle name="Normal 5 5 9 3" xfId="13330" xr:uid="{D216BF1E-0D0E-4207-A53D-2212BD845BCB}"/>
    <cellStyle name="Normal 5 6" xfId="468" xr:uid="{00000000-0005-0000-0000-00009C1B0000}"/>
    <cellStyle name="Normal 5 6 10" xfId="9082" xr:uid="{3489B3F2-CEC7-4C1C-B7A3-CF6F68423307}"/>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4334" xr:uid="{A6532B2A-4A5F-4B28-A756-5AF78C37BE38}"/>
    <cellStyle name="Normal 5 6 2 2 2 2 3" xfId="15893" xr:uid="{BC838BB8-3F22-408B-A3F4-59406FAF325E}"/>
    <cellStyle name="Normal 5 6 2 2 2 3" xfId="20116" xr:uid="{B5DB20D0-B396-4A94-95FC-BF16499852D2}"/>
    <cellStyle name="Normal 5 6 2 2 2 4" xfId="11674" xr:uid="{24157645-C5CF-492D-A672-DE30AF80D061}"/>
    <cellStyle name="Normal 5 6 2 2 3" xfId="5254" xr:uid="{00000000-0005-0000-0000-0000A11B0000}"/>
    <cellStyle name="Normal 5 6 2 2 3 2" xfId="22189" xr:uid="{A3818B06-6125-48EF-9CB7-8D584FD18354}"/>
    <cellStyle name="Normal 5 6 2 2 3 3" xfId="13748" xr:uid="{C316F3D2-0956-465E-B8B3-DFA646F7B2E7}"/>
    <cellStyle name="Normal 5 6 2 2 4" xfId="17971" xr:uid="{8200E921-0E4B-4E10-81CA-ACE9274A62B9}"/>
    <cellStyle name="Normal 5 6 2 2 5" xfId="9497" xr:uid="{E0E210B8-530D-4544-8876-D88F866B49BC}"/>
    <cellStyle name="Normal 5 6 2 3" xfId="1360" xr:uid="{00000000-0005-0000-0000-0000A21B0000}"/>
    <cellStyle name="Normal 5 6 2 3 2" xfId="3590" xr:uid="{00000000-0005-0000-0000-0000A31B0000}"/>
    <cellStyle name="Normal 5 6 2 3 2 2" xfId="7812" xr:uid="{00000000-0005-0000-0000-0000A41B0000}"/>
    <cellStyle name="Normal 5 6 2 3 2 2 2" xfId="24747" xr:uid="{96878814-0A12-4939-B118-40AAA7B13179}"/>
    <cellStyle name="Normal 5 6 2 3 2 2 3" xfId="16306" xr:uid="{24095A3D-A26C-4EF5-8586-033E97A78601}"/>
    <cellStyle name="Normal 5 6 2 3 2 3" xfId="20529" xr:uid="{6D45579C-68BC-4F0C-9863-F4B6D1A0A8E4}"/>
    <cellStyle name="Normal 5 6 2 3 2 4" xfId="12087" xr:uid="{F12830B9-9E56-4835-815C-5D06803CB05B}"/>
    <cellStyle name="Normal 5 6 2 3 3" xfId="5667" xr:uid="{00000000-0005-0000-0000-0000A51B0000}"/>
    <cellStyle name="Normal 5 6 2 3 3 2" xfId="22602" xr:uid="{0F975FCC-E041-4186-A61C-96FFECA70ED5}"/>
    <cellStyle name="Normal 5 6 2 3 3 3" xfId="14161" xr:uid="{530247DA-A534-4605-A934-1D0B71950A80}"/>
    <cellStyle name="Normal 5 6 2 3 4" xfId="18384" xr:uid="{477FE8B9-6B23-49A6-8621-9F6BE440656E}"/>
    <cellStyle name="Normal 5 6 2 3 5" xfId="9910" xr:uid="{291A1BD7-EDA2-4464-B471-80335C61A362}"/>
    <cellStyle name="Normal 5 6 2 4" xfId="1773" xr:uid="{00000000-0005-0000-0000-0000A61B0000}"/>
    <cellStyle name="Normal 5 6 2 4 2" xfId="4003" xr:uid="{00000000-0005-0000-0000-0000A71B0000}"/>
    <cellStyle name="Normal 5 6 2 4 2 2" xfId="8225" xr:uid="{00000000-0005-0000-0000-0000A81B0000}"/>
    <cellStyle name="Normal 5 6 2 4 2 2 2" xfId="25160" xr:uid="{279CF5A8-C3ED-4DEB-A4FD-AA9C68F72F99}"/>
    <cellStyle name="Normal 5 6 2 4 2 2 3" xfId="16719" xr:uid="{84402C58-C6FB-475A-A988-712A42E52F5D}"/>
    <cellStyle name="Normal 5 6 2 4 2 3" xfId="20942" xr:uid="{F1A36729-FA74-4AFE-B1A5-BE1A66834502}"/>
    <cellStyle name="Normal 5 6 2 4 2 4" xfId="12500" xr:uid="{699F16A5-3D7A-42BE-A1E8-38AB7EC6FD12}"/>
    <cellStyle name="Normal 5 6 2 4 3" xfId="6080" xr:uid="{00000000-0005-0000-0000-0000A91B0000}"/>
    <cellStyle name="Normal 5 6 2 4 3 2" xfId="23015" xr:uid="{8A34254C-C1D6-466D-A91B-4ECEC67A569F}"/>
    <cellStyle name="Normal 5 6 2 4 3 3" xfId="14574" xr:uid="{E14FD8A1-16FD-4666-B621-38FEDE0B9C83}"/>
    <cellStyle name="Normal 5 6 2 4 4" xfId="18797" xr:uid="{FC72FD96-87E5-442B-BC78-2C01157A1558}"/>
    <cellStyle name="Normal 5 6 2 4 5" xfId="10323" xr:uid="{25753823-A44E-410E-B64C-57D609815405}"/>
    <cellStyle name="Normal 5 6 2 5" xfId="2187" xr:uid="{00000000-0005-0000-0000-0000AA1B0000}"/>
    <cellStyle name="Normal 5 6 2 5 2" xfId="4416" xr:uid="{00000000-0005-0000-0000-0000AB1B0000}"/>
    <cellStyle name="Normal 5 6 2 5 2 2" xfId="8638" xr:uid="{00000000-0005-0000-0000-0000AC1B0000}"/>
    <cellStyle name="Normal 5 6 2 5 2 2 2" xfId="25573" xr:uid="{07FE0EF4-3657-4AD4-89DF-0302B1CE8439}"/>
    <cellStyle name="Normal 5 6 2 5 2 2 3" xfId="17132" xr:uid="{AC96A34A-D5EA-4879-8E4A-AB0092168616}"/>
    <cellStyle name="Normal 5 6 2 5 2 3" xfId="21355" xr:uid="{07550C9D-7F3E-4336-BCF3-56A587BBD32E}"/>
    <cellStyle name="Normal 5 6 2 5 2 4" xfId="12913" xr:uid="{85F202C5-6015-48AF-8068-73C4E32AE8AC}"/>
    <cellStyle name="Normal 5 6 2 5 3" xfId="6493" xr:uid="{00000000-0005-0000-0000-0000AD1B0000}"/>
    <cellStyle name="Normal 5 6 2 5 3 2" xfId="23428" xr:uid="{FB16BB4D-BD8D-4739-91E1-E252CC48E011}"/>
    <cellStyle name="Normal 5 6 2 5 3 3" xfId="14987" xr:uid="{FC0B87A1-7D88-465E-8759-148C3BEB65AF}"/>
    <cellStyle name="Normal 5 6 2 5 4" xfId="19210" xr:uid="{E3629690-F75C-41EC-8997-04F86D2E39D2}"/>
    <cellStyle name="Normal 5 6 2 5 5" xfId="10736" xr:uid="{5CC98FCE-F337-4B9E-977C-89187A3076C6}"/>
    <cellStyle name="Normal 5 6 2 6" xfId="2623" xr:uid="{00000000-0005-0000-0000-0000AE1B0000}"/>
    <cellStyle name="Normal 5 6 2 6 2" xfId="6906" xr:uid="{00000000-0005-0000-0000-0000AF1B0000}"/>
    <cellStyle name="Normal 5 6 2 6 2 2" xfId="23841" xr:uid="{9598FE74-6885-403A-841F-AD7B90A1568A}"/>
    <cellStyle name="Normal 5 6 2 6 2 3" xfId="15400" xr:uid="{5372C418-3F0D-401D-AA5F-6BC892B286B7}"/>
    <cellStyle name="Normal 5 6 2 6 3" xfId="19623" xr:uid="{A86870FC-3D81-4BE4-A33B-BCB797D7A291}"/>
    <cellStyle name="Normal 5 6 2 6 4" xfId="11171" xr:uid="{A686A7D0-EC2B-47A8-A03C-5AC12B24EC6D}"/>
    <cellStyle name="Normal 5 6 2 7" xfId="4841" xr:uid="{00000000-0005-0000-0000-0000B01B0000}"/>
    <cellStyle name="Normal 5 6 2 7 2" xfId="21776" xr:uid="{EE0F8EAB-3D76-4095-99E4-18E929B3F77A}"/>
    <cellStyle name="Normal 5 6 2 7 3" xfId="13335" xr:uid="{97A30A42-D5A4-47B0-AF38-8704FDA287D0}"/>
    <cellStyle name="Normal 5 6 2 8" xfId="17558" xr:uid="{8801A97D-389A-48FA-BC66-E07F49B38AE2}"/>
    <cellStyle name="Normal 5 6 2 9" xfId="9083" xr:uid="{C5B710D3-B8F4-415C-A043-B263A01E82EA}"/>
    <cellStyle name="Normal 5 6 3" xfId="942" xr:uid="{00000000-0005-0000-0000-0000B11B0000}"/>
    <cellStyle name="Normal 5 6 3 2" xfId="3176" xr:uid="{00000000-0005-0000-0000-0000B21B0000}"/>
    <cellStyle name="Normal 5 6 3 2 2" xfId="7398" xr:uid="{00000000-0005-0000-0000-0000B31B0000}"/>
    <cellStyle name="Normal 5 6 3 2 2 2" xfId="24333" xr:uid="{930D0723-6C1A-4698-8C6A-3636A97B7BFF}"/>
    <cellStyle name="Normal 5 6 3 2 2 3" xfId="15892" xr:uid="{06F01672-69C8-4D50-9C21-15AD2744DDD6}"/>
    <cellStyle name="Normal 5 6 3 2 3" xfId="20115" xr:uid="{1CBE2373-F199-448C-AF02-6EEA96CE716B}"/>
    <cellStyle name="Normal 5 6 3 2 4" xfId="11673" xr:uid="{6B1AF657-689E-49EF-8F46-CA333955173E}"/>
    <cellStyle name="Normal 5 6 3 3" xfId="5253" xr:uid="{00000000-0005-0000-0000-0000B41B0000}"/>
    <cellStyle name="Normal 5 6 3 3 2" xfId="22188" xr:uid="{70B3FD04-47C3-45DF-B715-24971FB4B0DC}"/>
    <cellStyle name="Normal 5 6 3 3 3" xfId="13747" xr:uid="{7B808C8F-5D4A-4700-881B-3706198C75E9}"/>
    <cellStyle name="Normal 5 6 3 4" xfId="17970" xr:uid="{482852AA-1270-40D9-BCFC-214D9A16CFD2}"/>
    <cellStyle name="Normal 5 6 3 5" xfId="9496" xr:uid="{1A6AD575-8E97-45D6-B315-F5EAD1B57612}"/>
    <cellStyle name="Normal 5 6 4" xfId="1359" xr:uid="{00000000-0005-0000-0000-0000B51B0000}"/>
    <cellStyle name="Normal 5 6 4 2" xfId="3589" xr:uid="{00000000-0005-0000-0000-0000B61B0000}"/>
    <cellStyle name="Normal 5 6 4 2 2" xfId="7811" xr:uid="{00000000-0005-0000-0000-0000B71B0000}"/>
    <cellStyle name="Normal 5 6 4 2 2 2" xfId="24746" xr:uid="{0C74B7CC-3D7D-4DF0-8A5B-09198E6FD38A}"/>
    <cellStyle name="Normal 5 6 4 2 2 3" xfId="16305" xr:uid="{DA929567-1FD9-4443-A114-FF41181468AC}"/>
    <cellStyle name="Normal 5 6 4 2 3" xfId="20528" xr:uid="{86118A30-B3C6-40DA-8600-08B549AA455A}"/>
    <cellStyle name="Normal 5 6 4 2 4" xfId="12086" xr:uid="{D604E5CE-AEBE-4C85-94E6-BB8CB4EE0294}"/>
    <cellStyle name="Normal 5 6 4 3" xfId="5666" xr:uid="{00000000-0005-0000-0000-0000B81B0000}"/>
    <cellStyle name="Normal 5 6 4 3 2" xfId="22601" xr:uid="{6070093A-B09D-40AB-B070-066A76CA3AEA}"/>
    <cellStyle name="Normal 5 6 4 3 3" xfId="14160" xr:uid="{6BF2EC7B-D297-4B88-8912-F0F48082017E}"/>
    <cellStyle name="Normal 5 6 4 4" xfId="18383" xr:uid="{DF90C865-0DD7-4E9A-9894-946682596681}"/>
    <cellStyle name="Normal 5 6 4 5" xfId="9909" xr:uid="{E0F9643E-A2EE-44A7-A1B8-BC30035DD875}"/>
    <cellStyle name="Normal 5 6 5" xfId="1772" xr:uid="{00000000-0005-0000-0000-0000B91B0000}"/>
    <cellStyle name="Normal 5 6 5 2" xfId="4002" xr:uid="{00000000-0005-0000-0000-0000BA1B0000}"/>
    <cellStyle name="Normal 5 6 5 2 2" xfId="8224" xr:uid="{00000000-0005-0000-0000-0000BB1B0000}"/>
    <cellStyle name="Normal 5 6 5 2 2 2" xfId="25159" xr:uid="{AAE2061F-BC62-44C3-B8E2-B5B7A96AF693}"/>
    <cellStyle name="Normal 5 6 5 2 2 3" xfId="16718" xr:uid="{2C862A68-4932-4836-B8B3-0690EAA91E75}"/>
    <cellStyle name="Normal 5 6 5 2 3" xfId="20941" xr:uid="{8B17B726-643E-47A1-84B8-89998067B822}"/>
    <cellStyle name="Normal 5 6 5 2 4" xfId="12499" xr:uid="{C4617B9F-D5D7-48BE-999C-530401034E6A}"/>
    <cellStyle name="Normal 5 6 5 3" xfId="6079" xr:uid="{00000000-0005-0000-0000-0000BC1B0000}"/>
    <cellStyle name="Normal 5 6 5 3 2" xfId="23014" xr:uid="{AE19B049-6EE0-4C9C-8B9B-324E3E575CF7}"/>
    <cellStyle name="Normal 5 6 5 3 3" xfId="14573" xr:uid="{01AECD28-6391-405A-8EA0-FF7B83654CCA}"/>
    <cellStyle name="Normal 5 6 5 4" xfId="18796" xr:uid="{821F39F0-381A-41D3-9516-6402A65CA72E}"/>
    <cellStyle name="Normal 5 6 5 5" xfId="10322" xr:uid="{66F8F9DE-7C8B-4921-B61D-656B901D657F}"/>
    <cellStyle name="Normal 5 6 6" xfId="2186" xr:uid="{00000000-0005-0000-0000-0000BD1B0000}"/>
    <cellStyle name="Normal 5 6 6 2" xfId="4415" xr:uid="{00000000-0005-0000-0000-0000BE1B0000}"/>
    <cellStyle name="Normal 5 6 6 2 2" xfId="8637" xr:uid="{00000000-0005-0000-0000-0000BF1B0000}"/>
    <cellStyle name="Normal 5 6 6 2 2 2" xfId="25572" xr:uid="{78BEDDBE-26D5-4439-955F-F561398CB9AE}"/>
    <cellStyle name="Normal 5 6 6 2 2 3" xfId="17131" xr:uid="{54ED62EC-5980-4165-A048-34117CC180C3}"/>
    <cellStyle name="Normal 5 6 6 2 3" xfId="21354" xr:uid="{66E74DA9-C618-48F9-A3C7-E6F219AF7466}"/>
    <cellStyle name="Normal 5 6 6 2 4" xfId="12912" xr:uid="{D5EB8D5E-4D90-440B-A8E4-C36A842AC7C4}"/>
    <cellStyle name="Normal 5 6 6 3" xfId="6492" xr:uid="{00000000-0005-0000-0000-0000C01B0000}"/>
    <cellStyle name="Normal 5 6 6 3 2" xfId="23427" xr:uid="{46DB8662-87FA-4BE8-8254-90553F9BC773}"/>
    <cellStyle name="Normal 5 6 6 3 3" xfId="14986" xr:uid="{99303E3D-6D41-4860-926E-B5DFC2310DC1}"/>
    <cellStyle name="Normal 5 6 6 4" xfId="19209" xr:uid="{3FB6F67F-CFC0-4D17-BB0C-610C682FDF1D}"/>
    <cellStyle name="Normal 5 6 6 5" xfId="10735" xr:uid="{DD474549-ECDD-4883-832F-151455D0952A}"/>
    <cellStyle name="Normal 5 6 7" xfId="2622" xr:uid="{00000000-0005-0000-0000-0000C11B0000}"/>
    <cellStyle name="Normal 5 6 7 2" xfId="6905" xr:uid="{00000000-0005-0000-0000-0000C21B0000}"/>
    <cellStyle name="Normal 5 6 7 2 2" xfId="23840" xr:uid="{1C445C5A-F619-4E86-BF82-FE4827E6E6BB}"/>
    <cellStyle name="Normal 5 6 7 2 3" xfId="15399" xr:uid="{FC549792-9201-43CB-B268-4AA6251B384F}"/>
    <cellStyle name="Normal 5 6 7 3" xfId="19622" xr:uid="{77D1E641-D19D-44A8-917E-24FB30802915}"/>
    <cellStyle name="Normal 5 6 7 4" xfId="11170" xr:uid="{9A2CD3E6-B77D-4CE7-B2B8-714CAE2F00E6}"/>
    <cellStyle name="Normal 5 6 8" xfId="4840" xr:uid="{00000000-0005-0000-0000-0000C31B0000}"/>
    <cellStyle name="Normal 5 6 8 2" xfId="21775" xr:uid="{75F25733-74E8-4ED2-9CF3-AD8EF9310466}"/>
    <cellStyle name="Normal 5 6 8 3" xfId="13334" xr:uid="{F3454D2D-3A02-49B6-9EBA-F33DE7633CEB}"/>
    <cellStyle name="Normal 5 6 9" xfId="17557" xr:uid="{0D2EFC37-3D85-4DBB-9EF3-DE0B97C109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4335" xr:uid="{B30B3F4B-1AE6-400A-A263-48ED78CCD63B}"/>
    <cellStyle name="Normal 5 7 2 2 2 3" xfId="15894" xr:uid="{2E018083-4E0B-4A76-8DF6-B4EE25DE152A}"/>
    <cellStyle name="Normal 5 7 2 2 3" xfId="20117" xr:uid="{69984DA3-7395-46F2-BEDC-A009927A8F7F}"/>
    <cellStyle name="Normal 5 7 2 2 4" xfId="11675" xr:uid="{9961FDC5-776F-496F-AE94-41881EEE5164}"/>
    <cellStyle name="Normal 5 7 2 3" xfId="5255" xr:uid="{00000000-0005-0000-0000-0000C81B0000}"/>
    <cellStyle name="Normal 5 7 2 3 2" xfId="22190" xr:uid="{7733B3F4-5451-44D0-ADBC-CEDED93DF95E}"/>
    <cellStyle name="Normal 5 7 2 3 3" xfId="13749" xr:uid="{B3558AFA-62B1-4B0D-91C6-B790FD213720}"/>
    <cellStyle name="Normal 5 7 2 4" xfId="17972" xr:uid="{E34DD6D6-1812-48B3-865D-337FDC6E82EC}"/>
    <cellStyle name="Normal 5 7 2 5" xfId="9498" xr:uid="{9AD1C19B-07FE-48CD-8EA9-EFCE9CC4B4B6}"/>
    <cellStyle name="Normal 5 7 3" xfId="1361" xr:uid="{00000000-0005-0000-0000-0000C91B0000}"/>
    <cellStyle name="Normal 5 7 3 2" xfId="3591" xr:uid="{00000000-0005-0000-0000-0000CA1B0000}"/>
    <cellStyle name="Normal 5 7 3 2 2" xfId="7813" xr:uid="{00000000-0005-0000-0000-0000CB1B0000}"/>
    <cellStyle name="Normal 5 7 3 2 2 2" xfId="24748" xr:uid="{3D0E5DA1-CDA8-4D8C-B7BF-B957DCCE63DD}"/>
    <cellStyle name="Normal 5 7 3 2 2 3" xfId="16307" xr:uid="{D4BC4C1B-794D-46E5-942F-4B3A8E615DEC}"/>
    <cellStyle name="Normal 5 7 3 2 3" xfId="20530" xr:uid="{268D863B-62F0-42C3-BCB7-48D9043B74DE}"/>
    <cellStyle name="Normal 5 7 3 2 4" xfId="12088" xr:uid="{AC0F35F0-09E6-4A55-9771-05A25AFCEBC2}"/>
    <cellStyle name="Normal 5 7 3 3" xfId="5668" xr:uid="{00000000-0005-0000-0000-0000CC1B0000}"/>
    <cellStyle name="Normal 5 7 3 3 2" xfId="22603" xr:uid="{70D969CC-542D-4DD6-8820-7B2EB540C480}"/>
    <cellStyle name="Normal 5 7 3 3 3" xfId="14162" xr:uid="{987E9D39-4B17-4D71-A5FD-4803FEE271ED}"/>
    <cellStyle name="Normal 5 7 3 4" xfId="18385" xr:uid="{9E83861F-B884-4A3D-9E8E-BBD8A84AB6B9}"/>
    <cellStyle name="Normal 5 7 3 5" xfId="9911" xr:uid="{A9C402C7-5AC7-408E-AF1C-115276E66073}"/>
    <cellStyle name="Normal 5 7 4" xfId="1774" xr:uid="{00000000-0005-0000-0000-0000CD1B0000}"/>
    <cellStyle name="Normal 5 7 4 2" xfId="4004" xr:uid="{00000000-0005-0000-0000-0000CE1B0000}"/>
    <cellStyle name="Normal 5 7 4 2 2" xfId="8226" xr:uid="{00000000-0005-0000-0000-0000CF1B0000}"/>
    <cellStyle name="Normal 5 7 4 2 2 2" xfId="25161" xr:uid="{07AA944C-1DAB-41FF-A086-A88BF05498F9}"/>
    <cellStyle name="Normal 5 7 4 2 2 3" xfId="16720" xr:uid="{999D3665-16D1-44A9-AE86-E9D169230028}"/>
    <cellStyle name="Normal 5 7 4 2 3" xfId="20943" xr:uid="{59C32D18-C9BF-40C6-816D-CD92D6BCEF06}"/>
    <cellStyle name="Normal 5 7 4 2 4" xfId="12501" xr:uid="{EAF96973-7DB4-41C5-ADFC-577C59117448}"/>
    <cellStyle name="Normal 5 7 4 3" xfId="6081" xr:uid="{00000000-0005-0000-0000-0000D01B0000}"/>
    <cellStyle name="Normal 5 7 4 3 2" xfId="23016" xr:uid="{B023E2C3-F059-46CE-9940-467513D367BC}"/>
    <cellStyle name="Normal 5 7 4 3 3" xfId="14575" xr:uid="{F65D27B7-602F-4EC7-9D70-0837F663E9F6}"/>
    <cellStyle name="Normal 5 7 4 4" xfId="18798" xr:uid="{3272204A-44FF-44E7-B7A9-1E564A3FD803}"/>
    <cellStyle name="Normal 5 7 4 5" xfId="10324" xr:uid="{2E54199A-58C3-464F-AABE-97C128E23463}"/>
    <cellStyle name="Normal 5 7 5" xfId="2188" xr:uid="{00000000-0005-0000-0000-0000D11B0000}"/>
    <cellStyle name="Normal 5 7 5 2" xfId="4417" xr:uid="{00000000-0005-0000-0000-0000D21B0000}"/>
    <cellStyle name="Normal 5 7 5 2 2" xfId="8639" xr:uid="{00000000-0005-0000-0000-0000D31B0000}"/>
    <cellStyle name="Normal 5 7 5 2 2 2" xfId="25574" xr:uid="{4963051C-01C3-47FB-803D-263D3C701287}"/>
    <cellStyle name="Normal 5 7 5 2 2 3" xfId="17133" xr:uid="{7A834B67-766A-40E0-8978-7A74D0890514}"/>
    <cellStyle name="Normal 5 7 5 2 3" xfId="21356" xr:uid="{19A2D870-D6EC-4863-AF8F-46DA39FCD3F1}"/>
    <cellStyle name="Normal 5 7 5 2 4" xfId="12914" xr:uid="{B4329E4B-7B70-461A-A81B-DF0D41BB2A37}"/>
    <cellStyle name="Normal 5 7 5 3" xfId="6494" xr:uid="{00000000-0005-0000-0000-0000D41B0000}"/>
    <cellStyle name="Normal 5 7 5 3 2" xfId="23429" xr:uid="{529E864E-EE94-4308-9D13-588B5B33B601}"/>
    <cellStyle name="Normal 5 7 5 3 3" xfId="14988" xr:uid="{7DDAD992-0364-4096-9F53-AFE4AC08AA50}"/>
    <cellStyle name="Normal 5 7 5 4" xfId="19211" xr:uid="{D1A2F56F-BCFB-4227-9871-9FC08B59FC28}"/>
    <cellStyle name="Normal 5 7 5 5" xfId="10737" xr:uid="{11438EF3-0EB8-4B41-A335-B79BB8FAB14C}"/>
    <cellStyle name="Normal 5 7 6" xfId="2624" xr:uid="{00000000-0005-0000-0000-0000D51B0000}"/>
    <cellStyle name="Normal 5 7 6 2" xfId="6907" xr:uid="{00000000-0005-0000-0000-0000D61B0000}"/>
    <cellStyle name="Normal 5 7 6 2 2" xfId="23842" xr:uid="{ADB33255-5071-4536-BE11-4151EC543B29}"/>
    <cellStyle name="Normal 5 7 6 2 3" xfId="15401" xr:uid="{AE117B85-D028-4C2A-A169-3C49B4AFBD22}"/>
    <cellStyle name="Normal 5 7 6 3" xfId="19624" xr:uid="{FD97E729-9B6C-4EA4-BBF5-F25D4A227DAC}"/>
    <cellStyle name="Normal 5 7 6 4" xfId="11172" xr:uid="{6E9E2BCC-5F35-4A82-938C-286C1609825B}"/>
    <cellStyle name="Normal 5 7 7" xfId="4842" xr:uid="{00000000-0005-0000-0000-0000D71B0000}"/>
    <cellStyle name="Normal 5 7 7 2" xfId="21777" xr:uid="{BA295CA3-6F2E-48B4-B49D-EE8DDBD639D4}"/>
    <cellStyle name="Normal 5 7 7 3" xfId="13336" xr:uid="{CB04E73D-2917-488B-A787-2FB23DF5328D}"/>
    <cellStyle name="Normal 5 7 8" xfId="17559" xr:uid="{8627B5EA-9CD4-4ADD-9771-06DFBBE75AE9}"/>
    <cellStyle name="Normal 5 7 9" xfId="9084" xr:uid="{587325E1-B9FD-4E19-82AD-02F4CB0102A1}"/>
    <cellStyle name="Normal 5 8" xfId="880" xr:uid="{00000000-0005-0000-0000-0000D81B0000}"/>
    <cellStyle name="Normal 5 8 2" xfId="3115" xr:uid="{00000000-0005-0000-0000-0000D91B0000}"/>
    <cellStyle name="Normal 5 8 2 2" xfId="7337" xr:uid="{00000000-0005-0000-0000-0000DA1B0000}"/>
    <cellStyle name="Normal 5 8 2 2 2" xfId="24272" xr:uid="{94B107E7-4CB6-434D-9E34-DAF54ED038A8}"/>
    <cellStyle name="Normal 5 8 2 2 3" xfId="15831" xr:uid="{1FC21D16-A6A7-4280-A4AC-EE700266AD43}"/>
    <cellStyle name="Normal 5 8 2 3" xfId="20054" xr:uid="{E88F7B7F-DD5D-4F48-8CD5-4CE1C09DDEE1}"/>
    <cellStyle name="Normal 5 8 2 4" xfId="11612" xr:uid="{48B19518-0301-4ADD-B796-CC9952243F82}"/>
    <cellStyle name="Normal 5 8 3" xfId="5192" xr:uid="{00000000-0005-0000-0000-0000DB1B0000}"/>
    <cellStyle name="Normal 5 8 3 2" xfId="22127" xr:uid="{0A3E56C3-AEB7-470D-8611-B8914E7BBFF3}"/>
    <cellStyle name="Normal 5 8 3 3" xfId="13686" xr:uid="{0B43EE20-0F1E-4B5D-AA14-45FAFB5C2456}"/>
    <cellStyle name="Normal 5 8 4" xfId="17909" xr:uid="{0B7E3B4D-55FD-49E4-927E-38B09722313F}"/>
    <cellStyle name="Normal 5 8 5" xfId="9435" xr:uid="{49BDFE04-62EA-4BC3-B655-788666184B96}"/>
    <cellStyle name="Normal 5 9" xfId="1298" xr:uid="{00000000-0005-0000-0000-0000DC1B0000}"/>
    <cellStyle name="Normal 5 9 2" xfId="3528" xr:uid="{00000000-0005-0000-0000-0000DD1B0000}"/>
    <cellStyle name="Normal 5 9 2 2" xfId="7750" xr:uid="{00000000-0005-0000-0000-0000DE1B0000}"/>
    <cellStyle name="Normal 5 9 2 2 2" xfId="24685" xr:uid="{4DE33173-FCCA-4979-9EE1-82AE25799747}"/>
    <cellStyle name="Normal 5 9 2 2 3" xfId="16244" xr:uid="{C804A4E8-3668-4BB6-ADD7-C485C58C470E}"/>
    <cellStyle name="Normal 5 9 2 3" xfId="20467" xr:uid="{7E19C2E4-C568-4D01-B8E1-C858E58CAA18}"/>
    <cellStyle name="Normal 5 9 2 4" xfId="12025" xr:uid="{E1C64E2C-BF67-4936-8CD2-09C3D4153252}"/>
    <cellStyle name="Normal 5 9 3" xfId="5605" xr:uid="{00000000-0005-0000-0000-0000DF1B0000}"/>
    <cellStyle name="Normal 5 9 3 2" xfId="22540" xr:uid="{D738D4E1-2185-4F74-B095-7F09D12FBFAC}"/>
    <cellStyle name="Normal 5 9 3 3" xfId="14099" xr:uid="{5A1C0B2D-F911-4745-8D3E-378B61A922F2}"/>
    <cellStyle name="Normal 5 9 4" xfId="18322" xr:uid="{04DC0A60-B30D-4435-AB7F-51FD3344C0CE}"/>
    <cellStyle name="Normal 5 9 5" xfId="9848" xr:uid="{B0FE88A7-1A8B-4990-9B00-AC1CD730706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5575" xr:uid="{7BA8A477-DCF2-40A0-9CD1-4975047EF6F9}"/>
    <cellStyle name="Normal 8 10 2 2 3" xfId="17134" xr:uid="{95DE7DC6-86AC-4DDD-9C20-BF94618642BE}"/>
    <cellStyle name="Normal 8 10 2 3" xfId="21357" xr:uid="{FABC90FD-65C9-4FC9-BC4E-D2B6A4133BC4}"/>
    <cellStyle name="Normal 8 10 2 4" xfId="12915" xr:uid="{7555CE11-0516-4A58-B09E-5EED59D0FEF8}"/>
    <cellStyle name="Normal 8 10 3" xfId="6495" xr:uid="{00000000-0005-0000-0000-0000EB1B0000}"/>
    <cellStyle name="Normal 8 10 3 2" xfId="23430" xr:uid="{CAE0F434-3008-4B7E-B44D-A8FBE6FB2A0D}"/>
    <cellStyle name="Normal 8 10 3 3" xfId="14989" xr:uid="{B1F86915-86D8-4247-87CA-25A528F64680}"/>
    <cellStyle name="Normal 8 10 4" xfId="19212" xr:uid="{F5E1AAE4-CD7A-4845-AF56-D9205D49BDE2}"/>
    <cellStyle name="Normal 8 10 5" xfId="10738" xr:uid="{CA4DAE89-ACEE-4B01-8AF0-488FD06F065C}"/>
    <cellStyle name="Normal 8 11" xfId="2625" xr:uid="{00000000-0005-0000-0000-0000EC1B0000}"/>
    <cellStyle name="Normal 8 11 2" xfId="6908" xr:uid="{00000000-0005-0000-0000-0000ED1B0000}"/>
    <cellStyle name="Normal 8 11 2 2" xfId="23843" xr:uid="{96EEB09B-AADC-43B8-8955-E3DF33C4C7E6}"/>
    <cellStyle name="Normal 8 11 2 3" xfId="15402" xr:uid="{299D06F6-D669-4BBC-B001-5AC38569F176}"/>
    <cellStyle name="Normal 8 11 3" xfId="19625" xr:uid="{D9AD0FF0-504D-45C1-BF3E-5D9B6061CD30}"/>
    <cellStyle name="Normal 8 11 4" xfId="11173" xr:uid="{B9D0B0E4-1FE0-4176-8D98-2A23E26F0263}"/>
    <cellStyle name="Normal 8 12" xfId="4843" xr:uid="{00000000-0005-0000-0000-0000EE1B0000}"/>
    <cellStyle name="Normal 8 12 2" xfId="21778" xr:uid="{B956E296-C340-4ED7-9790-B38634B453AA}"/>
    <cellStyle name="Normal 8 12 3" xfId="13337" xr:uid="{06A754B1-B55E-4840-9EE1-B644F1134072}"/>
    <cellStyle name="Normal 8 13" xfId="17560" xr:uid="{31A90E97-4D01-4EAA-B79A-70A5EDF8D711}"/>
    <cellStyle name="Normal 8 14" xfId="9085" xr:uid="{326F7BF0-7E66-4FC1-B00A-F542EED09802}"/>
    <cellStyle name="Normal 8 2" xfId="479" xr:uid="{00000000-0005-0000-0000-0000EF1B0000}"/>
    <cellStyle name="Normal 8 2 10" xfId="2626" xr:uid="{00000000-0005-0000-0000-0000F01B0000}"/>
    <cellStyle name="Normal 8 2 10 2" xfId="6909" xr:uid="{00000000-0005-0000-0000-0000F11B0000}"/>
    <cellStyle name="Normal 8 2 10 2 2" xfId="23844" xr:uid="{EFA86F03-F20D-461C-A8BC-1EB9F11CAFBC}"/>
    <cellStyle name="Normal 8 2 10 2 3" xfId="15403" xr:uid="{3F601E46-A1A8-452D-8FCC-E639150FF3BD}"/>
    <cellStyle name="Normal 8 2 10 3" xfId="19626" xr:uid="{9BB90344-5733-4ADC-B9A9-7CBCC1CBA791}"/>
    <cellStyle name="Normal 8 2 10 4" xfId="11174" xr:uid="{3EE3B0AF-FDAC-45A8-9B92-2B191B63AF75}"/>
    <cellStyle name="Normal 8 2 11" xfId="4844" xr:uid="{00000000-0005-0000-0000-0000F21B0000}"/>
    <cellStyle name="Normal 8 2 11 2" xfId="21779" xr:uid="{DCDEBDF7-989B-49CD-8550-600E9E51E751}"/>
    <cellStyle name="Normal 8 2 11 3" xfId="13338" xr:uid="{CE9E04CE-76CC-4FDE-881B-EEB446F0BCE9}"/>
    <cellStyle name="Normal 8 2 12" xfId="17561" xr:uid="{36CCA04A-B74F-48BA-B45C-786376D7CDC2}"/>
    <cellStyle name="Normal 8 2 13" xfId="9086" xr:uid="{EE088F98-6890-4C7E-9CF4-42BD1B2D3BC8}"/>
    <cellStyle name="Normal 8 2 2" xfId="480" xr:uid="{00000000-0005-0000-0000-0000F31B0000}"/>
    <cellStyle name="Normal 8 2 2 10" xfId="4845" xr:uid="{00000000-0005-0000-0000-0000F41B0000}"/>
    <cellStyle name="Normal 8 2 2 10 2" xfId="21780" xr:uid="{BF055231-478D-49E9-9AB9-0EB823056C30}"/>
    <cellStyle name="Normal 8 2 2 10 3" xfId="13339" xr:uid="{02201DE4-8930-4010-93D7-454EBB51E8EF}"/>
    <cellStyle name="Normal 8 2 2 11" xfId="17562" xr:uid="{2C42CE2B-3935-4713-93E7-F67166B1A800}"/>
    <cellStyle name="Normal 8 2 2 12" xfId="9087" xr:uid="{6D954EFE-C959-40EA-A2A1-693FA6CAEB38}"/>
    <cellStyle name="Normal 8 2 2 2" xfId="481" xr:uid="{00000000-0005-0000-0000-0000F51B0000}"/>
    <cellStyle name="Normal 8 2 2 2 10" xfId="17563" xr:uid="{ABD9E83E-EC40-4C4D-B9FE-442C6D0D7AF8}"/>
    <cellStyle name="Normal 8 2 2 2 11" xfId="9088" xr:uid="{B36C559A-02DA-48C8-929D-4CDAA25D9F2F}"/>
    <cellStyle name="Normal 8 2 2 2 2" xfId="482" xr:uid="{00000000-0005-0000-0000-0000F61B0000}"/>
    <cellStyle name="Normal 8 2 2 2 2 10" xfId="9089" xr:uid="{346EE7FE-5905-4262-9773-0D2391E5AABF}"/>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4341" xr:uid="{9459AB8F-D0D4-4C19-A2C2-26484C2D896E}"/>
    <cellStyle name="Normal 8 2 2 2 2 2 2 2 2 3" xfId="15900" xr:uid="{9CA7E72B-F4FA-4E9C-AE2A-46E5523B0851}"/>
    <cellStyle name="Normal 8 2 2 2 2 2 2 2 3" xfId="20123" xr:uid="{5E9F9268-981D-4516-9E18-39E11DD9FC7C}"/>
    <cellStyle name="Normal 8 2 2 2 2 2 2 2 4" xfId="11681" xr:uid="{E48B4B51-093C-410D-A7EC-4C20FD3098FE}"/>
    <cellStyle name="Normal 8 2 2 2 2 2 2 3" xfId="5261" xr:uid="{00000000-0005-0000-0000-0000FB1B0000}"/>
    <cellStyle name="Normal 8 2 2 2 2 2 2 3 2" xfId="22196" xr:uid="{8FE2B3FC-5E04-4AE3-A76C-53718AC7B49E}"/>
    <cellStyle name="Normal 8 2 2 2 2 2 2 3 3" xfId="13755" xr:uid="{9283EFC6-8477-4B87-B374-B11473739602}"/>
    <cellStyle name="Normal 8 2 2 2 2 2 2 4" xfId="17978" xr:uid="{D1D1899F-2B3A-42FD-A772-D7868B0DFD26}"/>
    <cellStyle name="Normal 8 2 2 2 2 2 2 5" xfId="9504" xr:uid="{59CF20DA-9B24-44B8-A7C6-72D37C184BB6}"/>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4754" xr:uid="{88BD8FA9-9EFD-413F-8AAF-A6A56D03939A}"/>
    <cellStyle name="Normal 8 2 2 2 2 2 3 2 2 3" xfId="16313" xr:uid="{DD5FA504-C938-43B7-BEE5-2E5C10457293}"/>
    <cellStyle name="Normal 8 2 2 2 2 2 3 2 3" xfId="20536" xr:uid="{E1291DA4-E4BD-4C1B-A9B0-2F681D5FDBA6}"/>
    <cellStyle name="Normal 8 2 2 2 2 2 3 2 4" xfId="12094" xr:uid="{48404521-9364-4AD9-8797-E25AF76B8945}"/>
    <cellStyle name="Normal 8 2 2 2 2 2 3 3" xfId="5674" xr:uid="{00000000-0005-0000-0000-0000FF1B0000}"/>
    <cellStyle name="Normal 8 2 2 2 2 2 3 3 2" xfId="22609" xr:uid="{033C36E7-28D8-4E27-9CC6-9A933199A1C2}"/>
    <cellStyle name="Normal 8 2 2 2 2 2 3 3 3" xfId="14168" xr:uid="{209389CF-2067-4648-A35F-FF7F50D72D02}"/>
    <cellStyle name="Normal 8 2 2 2 2 2 3 4" xfId="18391" xr:uid="{732838A8-C592-484F-B24F-EBA7A7689768}"/>
    <cellStyle name="Normal 8 2 2 2 2 2 3 5" xfId="9917" xr:uid="{E3A7D037-69A3-41FD-B63C-0D8AB3A38517}"/>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167" xr:uid="{16A15662-221B-4975-8539-0C65449F4C46}"/>
    <cellStyle name="Normal 8 2 2 2 2 2 4 2 2 3" xfId="16726" xr:uid="{11602CEE-9BB2-4F10-815D-E13712A7EAFC}"/>
    <cellStyle name="Normal 8 2 2 2 2 2 4 2 3" xfId="20949" xr:uid="{1EDDA787-DD88-4C44-8983-A6A1D3C206E6}"/>
    <cellStyle name="Normal 8 2 2 2 2 2 4 2 4" xfId="12507" xr:uid="{18C7D5F4-E40D-4B13-9CD1-F284333E141B}"/>
    <cellStyle name="Normal 8 2 2 2 2 2 4 3" xfId="6087" xr:uid="{00000000-0005-0000-0000-0000031C0000}"/>
    <cellStyle name="Normal 8 2 2 2 2 2 4 3 2" xfId="23022" xr:uid="{11366745-F3EA-481B-8609-3C61C238D484}"/>
    <cellStyle name="Normal 8 2 2 2 2 2 4 3 3" xfId="14581" xr:uid="{F48B3A79-5410-42D7-AC2C-B5D8DB42A832}"/>
    <cellStyle name="Normal 8 2 2 2 2 2 4 4" xfId="18804" xr:uid="{1481817A-8CF7-4469-B3C4-270642E0CFBC}"/>
    <cellStyle name="Normal 8 2 2 2 2 2 4 5" xfId="10330" xr:uid="{C7C3F824-6CD9-4583-ACEF-DC660BEC6611}"/>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5580" xr:uid="{9DC52B61-159D-415D-AFD0-DE5ED9B44320}"/>
    <cellStyle name="Normal 8 2 2 2 2 2 5 2 2 3" xfId="17139" xr:uid="{207FAD02-56F0-49A9-AE4E-ECFA886B3768}"/>
    <cellStyle name="Normal 8 2 2 2 2 2 5 2 3" xfId="21362" xr:uid="{EA1BF358-72C0-4454-B41B-17D6CA7D6D8E}"/>
    <cellStyle name="Normal 8 2 2 2 2 2 5 2 4" xfId="12920" xr:uid="{6268E05A-5AA1-4B6B-B7F1-5EC49EC85DDD}"/>
    <cellStyle name="Normal 8 2 2 2 2 2 5 3" xfId="6500" xr:uid="{00000000-0005-0000-0000-0000071C0000}"/>
    <cellStyle name="Normal 8 2 2 2 2 2 5 3 2" xfId="23435" xr:uid="{25DC8CF7-33BA-408F-A644-B8933378CF96}"/>
    <cellStyle name="Normal 8 2 2 2 2 2 5 3 3" xfId="14994" xr:uid="{806E1C1B-8A9F-4811-A8D9-2EEE8657D7B3}"/>
    <cellStyle name="Normal 8 2 2 2 2 2 5 4" xfId="19217" xr:uid="{94E9B142-0256-460A-9907-A911655B2FA1}"/>
    <cellStyle name="Normal 8 2 2 2 2 2 5 5" xfId="10743" xr:uid="{3184B07D-1247-467D-A5AF-ED7F2BE20C50}"/>
    <cellStyle name="Normal 8 2 2 2 2 2 6" xfId="2630" xr:uid="{00000000-0005-0000-0000-0000081C0000}"/>
    <cellStyle name="Normal 8 2 2 2 2 2 6 2" xfId="6913" xr:uid="{00000000-0005-0000-0000-0000091C0000}"/>
    <cellStyle name="Normal 8 2 2 2 2 2 6 2 2" xfId="23848" xr:uid="{118846E7-0C01-483F-99F6-A5A73AA63D43}"/>
    <cellStyle name="Normal 8 2 2 2 2 2 6 2 3" xfId="15407" xr:uid="{D55CCDF3-0D53-45FC-B3D9-51373074208A}"/>
    <cellStyle name="Normal 8 2 2 2 2 2 6 3" xfId="19630" xr:uid="{E9189049-0E18-4327-8823-E619D9EB3A89}"/>
    <cellStyle name="Normal 8 2 2 2 2 2 6 4" xfId="11178" xr:uid="{DB211781-AF8B-4FB8-BAFF-22F04CBD2832}"/>
    <cellStyle name="Normal 8 2 2 2 2 2 7" xfId="4848" xr:uid="{00000000-0005-0000-0000-00000A1C0000}"/>
    <cellStyle name="Normal 8 2 2 2 2 2 7 2" xfId="21783" xr:uid="{8A6C97C9-BDE4-4C77-8663-43D34D887F76}"/>
    <cellStyle name="Normal 8 2 2 2 2 2 7 3" xfId="13342" xr:uid="{1DE457F1-DD36-4FD6-A16D-235FBAAD079B}"/>
    <cellStyle name="Normal 8 2 2 2 2 2 8" xfId="17565" xr:uid="{050442C3-C38F-4D66-82C5-70286BAE77DC}"/>
    <cellStyle name="Normal 8 2 2 2 2 2 9" xfId="9090" xr:uid="{0EF60E05-2CDB-4554-897D-854EDEE000E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4340" xr:uid="{EC0EC1BB-4265-4062-9642-5B1EA001A80B}"/>
    <cellStyle name="Normal 8 2 2 2 2 3 2 2 3" xfId="15899" xr:uid="{17AEF370-2415-4646-A3CB-71BEEAB064AB}"/>
    <cellStyle name="Normal 8 2 2 2 2 3 2 3" xfId="20122" xr:uid="{31CB3488-750A-4D93-BBF6-BFD758B22268}"/>
    <cellStyle name="Normal 8 2 2 2 2 3 2 4" xfId="11680" xr:uid="{4751C4C8-4E19-4C63-AD31-49841BFDDA5F}"/>
    <cellStyle name="Normal 8 2 2 2 2 3 3" xfId="5260" xr:uid="{00000000-0005-0000-0000-00000E1C0000}"/>
    <cellStyle name="Normal 8 2 2 2 2 3 3 2" xfId="22195" xr:uid="{7C9C5FF9-29AF-4187-9914-2092D8CA1831}"/>
    <cellStyle name="Normal 8 2 2 2 2 3 3 3" xfId="13754" xr:uid="{E224B8EB-EAE9-4FC2-AEFF-73C314576401}"/>
    <cellStyle name="Normal 8 2 2 2 2 3 4" xfId="17977" xr:uid="{4FE264F6-ADDD-419D-808A-95938B7935FB}"/>
    <cellStyle name="Normal 8 2 2 2 2 3 5" xfId="9503" xr:uid="{A0080887-8D5D-4FBC-B7E8-36C876469C08}"/>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4753" xr:uid="{C63FDFD9-5E2E-4009-8DB1-91A73A95FD63}"/>
    <cellStyle name="Normal 8 2 2 2 2 4 2 2 3" xfId="16312" xr:uid="{A79AAFED-88DF-4CAE-9DC6-BA78261A8174}"/>
    <cellStyle name="Normal 8 2 2 2 2 4 2 3" xfId="20535" xr:uid="{9086E2CA-FACC-453B-8234-D4908C2CDD97}"/>
    <cellStyle name="Normal 8 2 2 2 2 4 2 4" xfId="12093" xr:uid="{EC55A96A-3A28-4E4C-B45B-2082AE8DEA65}"/>
    <cellStyle name="Normal 8 2 2 2 2 4 3" xfId="5673" xr:uid="{00000000-0005-0000-0000-0000121C0000}"/>
    <cellStyle name="Normal 8 2 2 2 2 4 3 2" xfId="22608" xr:uid="{19F28DBD-96AC-4999-9CD0-D72A8B98F97E}"/>
    <cellStyle name="Normal 8 2 2 2 2 4 3 3" xfId="14167" xr:uid="{94C22F01-25A3-4ED5-960B-CFC38C9AC1D9}"/>
    <cellStyle name="Normal 8 2 2 2 2 4 4" xfId="18390" xr:uid="{3D0C2DEA-121E-4910-81B1-DB4C2B2D4ED4}"/>
    <cellStyle name="Normal 8 2 2 2 2 4 5" xfId="9916" xr:uid="{40431BEF-262E-410E-8429-00CC7C171A4A}"/>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166" xr:uid="{4204A2DE-3B3B-4D7C-AD26-88613A8ED0DF}"/>
    <cellStyle name="Normal 8 2 2 2 2 5 2 2 3" xfId="16725" xr:uid="{52D2A2A3-0C3C-4164-8928-DEFE1FE68434}"/>
    <cellStyle name="Normal 8 2 2 2 2 5 2 3" xfId="20948" xr:uid="{A63653EC-576F-48BE-AAE2-2F87F8B4F180}"/>
    <cellStyle name="Normal 8 2 2 2 2 5 2 4" xfId="12506" xr:uid="{6F6DC64C-70ED-4392-90D1-951D6BDC376D}"/>
    <cellStyle name="Normal 8 2 2 2 2 5 3" xfId="6086" xr:uid="{00000000-0005-0000-0000-0000161C0000}"/>
    <cellStyle name="Normal 8 2 2 2 2 5 3 2" xfId="23021" xr:uid="{8E8588EC-507B-4033-90E0-F1DC8C4A1C80}"/>
    <cellStyle name="Normal 8 2 2 2 2 5 3 3" xfId="14580" xr:uid="{68A0C74D-C27B-4F13-8738-4F9A0558EE6F}"/>
    <cellStyle name="Normal 8 2 2 2 2 5 4" xfId="18803" xr:uid="{9AA35DB2-94DD-4455-94F8-E7FE1836FE86}"/>
    <cellStyle name="Normal 8 2 2 2 2 5 5" xfId="10329" xr:uid="{826B88A2-5645-4018-A318-FE790E55FB92}"/>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5579" xr:uid="{2B66A428-1525-41B7-BA3F-E3C579B60847}"/>
    <cellStyle name="Normal 8 2 2 2 2 6 2 2 3" xfId="17138" xr:uid="{E3537B9F-AA88-406A-B363-49DA79816547}"/>
    <cellStyle name="Normal 8 2 2 2 2 6 2 3" xfId="21361" xr:uid="{CF2C37CC-7B10-4ED6-B678-C450A6146940}"/>
    <cellStyle name="Normal 8 2 2 2 2 6 2 4" xfId="12919" xr:uid="{98E54798-C300-4D41-A7FA-F462815BCF8B}"/>
    <cellStyle name="Normal 8 2 2 2 2 6 3" xfId="6499" xr:uid="{00000000-0005-0000-0000-00001A1C0000}"/>
    <cellStyle name="Normal 8 2 2 2 2 6 3 2" xfId="23434" xr:uid="{8B03F1D6-BC6A-4326-A6AE-CEDDB4B4B2A1}"/>
    <cellStyle name="Normal 8 2 2 2 2 6 3 3" xfId="14993" xr:uid="{B7EC79B1-2B76-4A89-91B9-4586B5AC3ABE}"/>
    <cellStyle name="Normal 8 2 2 2 2 6 4" xfId="19216" xr:uid="{F43E5B18-381F-43C5-A8E3-A4C1E7E44F72}"/>
    <cellStyle name="Normal 8 2 2 2 2 6 5" xfId="10742" xr:uid="{DBFB18A6-6578-4349-9ABB-8CDA2EFFB5D9}"/>
    <cellStyle name="Normal 8 2 2 2 2 7" xfId="2629" xr:uid="{00000000-0005-0000-0000-00001B1C0000}"/>
    <cellStyle name="Normal 8 2 2 2 2 7 2" xfId="6912" xr:uid="{00000000-0005-0000-0000-00001C1C0000}"/>
    <cellStyle name="Normal 8 2 2 2 2 7 2 2" xfId="23847" xr:uid="{A53B3ECB-5201-43E9-82DD-315827E72943}"/>
    <cellStyle name="Normal 8 2 2 2 2 7 2 3" xfId="15406" xr:uid="{54CF70A0-84A3-4D06-9B06-04DC6E836571}"/>
    <cellStyle name="Normal 8 2 2 2 2 7 3" xfId="19629" xr:uid="{C1B1AABA-325F-4019-A0CD-9B656FB5255D}"/>
    <cellStyle name="Normal 8 2 2 2 2 7 4" xfId="11177" xr:uid="{9B886D8F-1471-467A-BDB3-3E50036E1B55}"/>
    <cellStyle name="Normal 8 2 2 2 2 8" xfId="4847" xr:uid="{00000000-0005-0000-0000-00001D1C0000}"/>
    <cellStyle name="Normal 8 2 2 2 2 8 2" xfId="21782" xr:uid="{91840D66-3F00-49FE-9F81-37772744A1DB}"/>
    <cellStyle name="Normal 8 2 2 2 2 8 3" xfId="13341" xr:uid="{43E45894-743C-4C99-86F2-AA38EA0DE411}"/>
    <cellStyle name="Normal 8 2 2 2 2 9" xfId="17564" xr:uid="{5D670EDB-CB2E-48EA-9CAE-D9BF389BCDD7}"/>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4342" xr:uid="{32BEDE65-FBCD-428F-B085-13540AE453B5}"/>
    <cellStyle name="Normal 8 2 2 2 3 2 2 2 3" xfId="15901" xr:uid="{BF97BCE0-67BC-408B-9C32-BC9FCF5F0856}"/>
    <cellStyle name="Normal 8 2 2 2 3 2 2 3" xfId="20124" xr:uid="{8911D254-7956-496F-A06D-F7824DADFAE7}"/>
    <cellStyle name="Normal 8 2 2 2 3 2 2 4" xfId="11682" xr:uid="{5E10A2A8-D753-46FE-9540-1F84049A4BA9}"/>
    <cellStyle name="Normal 8 2 2 2 3 2 3" xfId="5262" xr:uid="{00000000-0005-0000-0000-0000221C0000}"/>
    <cellStyle name="Normal 8 2 2 2 3 2 3 2" xfId="22197" xr:uid="{FED96B52-C7AE-4E86-B56B-DBCDEA9B6D2F}"/>
    <cellStyle name="Normal 8 2 2 2 3 2 3 3" xfId="13756" xr:uid="{77A87A40-D27B-44C8-AD41-523025480047}"/>
    <cellStyle name="Normal 8 2 2 2 3 2 4" xfId="17979" xr:uid="{29F7E7D8-CC39-4C61-A910-1D3CBDD05EFA}"/>
    <cellStyle name="Normal 8 2 2 2 3 2 5" xfId="9505" xr:uid="{C7BA781A-F35F-41F0-AF8E-CDD1C3A8A389}"/>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4755" xr:uid="{426A0717-B68E-4AFC-B3A1-E9BB0C516414}"/>
    <cellStyle name="Normal 8 2 2 2 3 3 2 2 3" xfId="16314" xr:uid="{EF2EB425-C089-4AE5-8792-716B8974E57F}"/>
    <cellStyle name="Normal 8 2 2 2 3 3 2 3" xfId="20537" xr:uid="{FC612A24-7060-4DF9-BD64-A953D9C9883B}"/>
    <cellStyle name="Normal 8 2 2 2 3 3 2 4" xfId="12095" xr:uid="{4ED81A39-C771-4B49-9BA4-F68D4BCD568A}"/>
    <cellStyle name="Normal 8 2 2 2 3 3 3" xfId="5675" xr:uid="{00000000-0005-0000-0000-0000261C0000}"/>
    <cellStyle name="Normal 8 2 2 2 3 3 3 2" xfId="22610" xr:uid="{D06FE1BD-0656-41A9-939E-F69B3237738C}"/>
    <cellStyle name="Normal 8 2 2 2 3 3 3 3" xfId="14169" xr:uid="{64334F38-C1E3-4DAB-8EA9-95F7A1F0DC0F}"/>
    <cellStyle name="Normal 8 2 2 2 3 3 4" xfId="18392" xr:uid="{5C410FA7-E8C8-4580-916D-0650CF9DA4A6}"/>
    <cellStyle name="Normal 8 2 2 2 3 3 5" xfId="9918" xr:uid="{2EC10D11-F513-4B37-9EFB-39BBBB4836B9}"/>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168" xr:uid="{B019D69F-731F-41D8-84D8-503C7ABD8036}"/>
    <cellStyle name="Normal 8 2 2 2 3 4 2 2 3" xfId="16727" xr:uid="{3540F57C-F640-41F6-8D64-B05AE8584D01}"/>
    <cellStyle name="Normal 8 2 2 2 3 4 2 3" xfId="20950" xr:uid="{7CB8D825-0C93-43FA-B683-AFABBDE61EEB}"/>
    <cellStyle name="Normal 8 2 2 2 3 4 2 4" xfId="12508" xr:uid="{A0FBECB1-212A-4A8F-90BA-FF5044236B5F}"/>
    <cellStyle name="Normal 8 2 2 2 3 4 3" xfId="6088" xr:uid="{00000000-0005-0000-0000-00002A1C0000}"/>
    <cellStyle name="Normal 8 2 2 2 3 4 3 2" xfId="23023" xr:uid="{58131102-9DA4-4D01-A24D-7D88C29962DF}"/>
    <cellStyle name="Normal 8 2 2 2 3 4 3 3" xfId="14582" xr:uid="{6873960E-F9B5-4103-B3F1-BD90698AE1EF}"/>
    <cellStyle name="Normal 8 2 2 2 3 4 4" xfId="18805" xr:uid="{9CA05410-3B99-48E8-A897-6FF486AC96CD}"/>
    <cellStyle name="Normal 8 2 2 2 3 4 5" xfId="10331" xr:uid="{86DEB3C8-F4C1-4136-AD2E-084C43EDD4D3}"/>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5581" xr:uid="{14B4DFFF-77DD-49B7-9EDB-565ECB40C4C6}"/>
    <cellStyle name="Normal 8 2 2 2 3 5 2 2 3" xfId="17140" xr:uid="{31E3BA1D-375B-4FD4-BB9E-EDBE569A239A}"/>
    <cellStyle name="Normal 8 2 2 2 3 5 2 3" xfId="21363" xr:uid="{1FD1E8D7-BA42-4645-8438-E580815552E0}"/>
    <cellStyle name="Normal 8 2 2 2 3 5 2 4" xfId="12921" xr:uid="{702C60BE-301B-4423-8CA2-DD0B0AB29CEE}"/>
    <cellStyle name="Normal 8 2 2 2 3 5 3" xfId="6501" xr:uid="{00000000-0005-0000-0000-00002E1C0000}"/>
    <cellStyle name="Normal 8 2 2 2 3 5 3 2" xfId="23436" xr:uid="{6424EB10-4DA9-42E9-8C42-0A066F7A9ED1}"/>
    <cellStyle name="Normal 8 2 2 2 3 5 3 3" xfId="14995" xr:uid="{15F9E2DF-5543-4E6F-874E-2AF0E4090048}"/>
    <cellStyle name="Normal 8 2 2 2 3 5 4" xfId="19218" xr:uid="{1EF43005-BC9C-4D0D-8AC6-D127580483A6}"/>
    <cellStyle name="Normal 8 2 2 2 3 5 5" xfId="10744" xr:uid="{B9C3A161-BDBC-4B31-896A-F832B42DEA6E}"/>
    <cellStyle name="Normal 8 2 2 2 3 6" xfId="2631" xr:uid="{00000000-0005-0000-0000-00002F1C0000}"/>
    <cellStyle name="Normal 8 2 2 2 3 6 2" xfId="6914" xr:uid="{00000000-0005-0000-0000-0000301C0000}"/>
    <cellStyle name="Normal 8 2 2 2 3 6 2 2" xfId="23849" xr:uid="{E70C860D-FD32-4FDC-B589-9B0E99FEEEC0}"/>
    <cellStyle name="Normal 8 2 2 2 3 6 2 3" xfId="15408" xr:uid="{FF60A6B1-19FD-46B8-BF13-AB2EB4993923}"/>
    <cellStyle name="Normal 8 2 2 2 3 6 3" xfId="19631" xr:uid="{5E80E054-C9D8-4FA8-BB53-50E247177E14}"/>
    <cellStyle name="Normal 8 2 2 2 3 6 4" xfId="11179" xr:uid="{3BC05AC9-E1F5-4C3F-8A9D-A15186A052C4}"/>
    <cellStyle name="Normal 8 2 2 2 3 7" xfId="4849" xr:uid="{00000000-0005-0000-0000-0000311C0000}"/>
    <cellStyle name="Normal 8 2 2 2 3 7 2" xfId="21784" xr:uid="{18D5C8F2-E646-4871-8FC6-9FB6D6F54140}"/>
    <cellStyle name="Normal 8 2 2 2 3 7 3" xfId="13343" xr:uid="{354F7862-AB1D-41C3-9125-8CCDCCF508D0}"/>
    <cellStyle name="Normal 8 2 2 2 3 8" xfId="17566" xr:uid="{FD47DF16-9989-446A-B5A6-798D5DF2C736}"/>
    <cellStyle name="Normal 8 2 2 2 3 9" xfId="9091" xr:uid="{F10566FE-1AA0-4665-91FF-E8F2FABFF0EB}"/>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4339" xr:uid="{4DE103D5-E584-4364-86BA-040253B84ED4}"/>
    <cellStyle name="Normal 8 2 2 2 4 2 2 3" xfId="15898" xr:uid="{EB353D26-6D08-431C-84F6-715181BC48DB}"/>
    <cellStyle name="Normal 8 2 2 2 4 2 3" xfId="20121" xr:uid="{2E8D11D0-16D3-4E7A-BEAA-25D923B07C5F}"/>
    <cellStyle name="Normal 8 2 2 2 4 2 4" xfId="11679" xr:uid="{9CB4C107-19E0-4C62-B25C-7C2FF869D237}"/>
    <cellStyle name="Normal 8 2 2 2 4 3" xfId="5259" xr:uid="{00000000-0005-0000-0000-0000351C0000}"/>
    <cellStyle name="Normal 8 2 2 2 4 3 2" xfId="22194" xr:uid="{A22D906F-A2DC-4D10-AA65-0360A59AEFD8}"/>
    <cellStyle name="Normal 8 2 2 2 4 3 3" xfId="13753" xr:uid="{B40CCD37-7495-4B5B-8206-7DE62D6D1380}"/>
    <cellStyle name="Normal 8 2 2 2 4 4" xfId="17976" xr:uid="{CD1F2DF3-111A-407C-A1F6-F5355C5623BC}"/>
    <cellStyle name="Normal 8 2 2 2 4 5" xfId="9502" xr:uid="{14A79EB4-D7A3-431D-9A68-95980605B67B}"/>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4752" xr:uid="{A2BC3847-11C4-4B59-B955-AFA448C5D6A4}"/>
    <cellStyle name="Normal 8 2 2 2 5 2 2 3" xfId="16311" xr:uid="{EE8DF797-9697-43AB-8276-DF22F3A77346}"/>
    <cellStyle name="Normal 8 2 2 2 5 2 3" xfId="20534" xr:uid="{8ABC7537-8024-4160-86C8-2C8B3C07B33E}"/>
    <cellStyle name="Normal 8 2 2 2 5 2 4" xfId="12092" xr:uid="{6A61C148-B7BF-4A94-9701-13234D3C7BA4}"/>
    <cellStyle name="Normal 8 2 2 2 5 3" xfId="5672" xr:uid="{00000000-0005-0000-0000-0000391C0000}"/>
    <cellStyle name="Normal 8 2 2 2 5 3 2" xfId="22607" xr:uid="{F18121B8-48EF-44A3-A08E-DFA61868FF34}"/>
    <cellStyle name="Normal 8 2 2 2 5 3 3" xfId="14166" xr:uid="{DB7E9B7E-1CBB-4842-9913-09FC8094504B}"/>
    <cellStyle name="Normal 8 2 2 2 5 4" xfId="18389" xr:uid="{9790C850-FB0F-4E5D-9FCC-3B7A1E762BEF}"/>
    <cellStyle name="Normal 8 2 2 2 5 5" xfId="9915" xr:uid="{CC3B1F48-5586-47D6-8BBD-755AB45AD219}"/>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165" xr:uid="{0C9E2F3E-B06B-4BF4-AEAC-9010DB3A70C1}"/>
    <cellStyle name="Normal 8 2 2 2 6 2 2 3" xfId="16724" xr:uid="{FC37D2D2-AAFA-479C-BC49-3CA5D9A2EF89}"/>
    <cellStyle name="Normal 8 2 2 2 6 2 3" xfId="20947" xr:uid="{A8DDF8EE-B907-4BFD-8A8F-4BECBC2E9352}"/>
    <cellStyle name="Normal 8 2 2 2 6 2 4" xfId="12505" xr:uid="{C6B48508-3C1E-4068-B3E3-806A98C7F5BA}"/>
    <cellStyle name="Normal 8 2 2 2 6 3" xfId="6085" xr:uid="{00000000-0005-0000-0000-00003D1C0000}"/>
    <cellStyle name="Normal 8 2 2 2 6 3 2" xfId="23020" xr:uid="{A92E78E7-BE3E-4FD4-AC7B-E14AE4A4F02D}"/>
    <cellStyle name="Normal 8 2 2 2 6 3 3" xfId="14579" xr:uid="{F095D565-8052-41DE-A11A-B0A290CC9045}"/>
    <cellStyle name="Normal 8 2 2 2 6 4" xfId="18802" xr:uid="{71D47B57-A39D-4492-922D-699BAC55591C}"/>
    <cellStyle name="Normal 8 2 2 2 6 5" xfId="10328" xr:uid="{DEF32DFC-D7DC-4FC3-B804-CDD61847B802}"/>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5578" xr:uid="{69DD8F0C-8064-49F6-90E6-321321185FBC}"/>
    <cellStyle name="Normal 8 2 2 2 7 2 2 3" xfId="17137" xr:uid="{424642F7-5AC1-4101-B282-2271EE4A4EFC}"/>
    <cellStyle name="Normal 8 2 2 2 7 2 3" xfId="21360" xr:uid="{8656E469-728B-4482-8B94-5EC7CDB1C6B4}"/>
    <cellStyle name="Normal 8 2 2 2 7 2 4" xfId="12918" xr:uid="{B32F67F6-0FE2-4C89-97EA-65D918F18159}"/>
    <cellStyle name="Normal 8 2 2 2 7 3" xfId="6498" xr:uid="{00000000-0005-0000-0000-0000411C0000}"/>
    <cellStyle name="Normal 8 2 2 2 7 3 2" xfId="23433" xr:uid="{A31E44B8-1BD5-46E8-A99D-B3B39B781F4F}"/>
    <cellStyle name="Normal 8 2 2 2 7 3 3" xfId="14992" xr:uid="{9201D201-D123-4A4F-8230-56C4096368F8}"/>
    <cellStyle name="Normal 8 2 2 2 7 4" xfId="19215" xr:uid="{B3F8E015-0811-4A16-A5A4-B6C44D39A8CB}"/>
    <cellStyle name="Normal 8 2 2 2 7 5" xfId="10741" xr:uid="{9BAE8228-2DA9-4B5B-9977-81B000F4DB7A}"/>
    <cellStyle name="Normal 8 2 2 2 8" xfId="2628" xr:uid="{00000000-0005-0000-0000-0000421C0000}"/>
    <cellStyle name="Normal 8 2 2 2 8 2" xfId="6911" xr:uid="{00000000-0005-0000-0000-0000431C0000}"/>
    <cellStyle name="Normal 8 2 2 2 8 2 2" xfId="23846" xr:uid="{C6C11606-6567-4264-B260-B7E1CF8CAF73}"/>
    <cellStyle name="Normal 8 2 2 2 8 2 3" xfId="15405" xr:uid="{798046BA-DFE0-4AEA-9D73-781FF3E1EDD6}"/>
    <cellStyle name="Normal 8 2 2 2 8 3" xfId="19628" xr:uid="{D3DD5495-AA2F-4CF9-AC6B-68165BECC054}"/>
    <cellStyle name="Normal 8 2 2 2 8 4" xfId="11176" xr:uid="{19CBC5D0-C10E-42C2-AA73-904C9760CCE4}"/>
    <cellStyle name="Normal 8 2 2 2 9" xfId="4846" xr:uid="{00000000-0005-0000-0000-0000441C0000}"/>
    <cellStyle name="Normal 8 2 2 2 9 2" xfId="21781" xr:uid="{5067BC4A-2A0E-4FF8-9828-2FD349129A15}"/>
    <cellStyle name="Normal 8 2 2 2 9 3" xfId="13340" xr:uid="{D5EC84CC-430E-4A85-8F51-58E836E616ED}"/>
    <cellStyle name="Normal 8 2 2 3" xfId="485" xr:uid="{00000000-0005-0000-0000-0000451C0000}"/>
    <cellStyle name="Normal 8 2 2 3 10" xfId="9092" xr:uid="{F3F9BE40-12A1-4AFC-A6B4-7F682E63C3E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4344" xr:uid="{ACB221DC-7552-4816-958E-52DB554AAB7C}"/>
    <cellStyle name="Normal 8 2 2 3 2 2 2 2 3" xfId="15903" xr:uid="{76C75288-3AEE-48E7-A1C0-C02E4598B494}"/>
    <cellStyle name="Normal 8 2 2 3 2 2 2 3" xfId="20126" xr:uid="{67208280-D05B-4394-A743-51E8A211A70C}"/>
    <cellStyle name="Normal 8 2 2 3 2 2 2 4" xfId="11684" xr:uid="{A1B893FC-2959-447F-98ED-DA59A833ABA6}"/>
    <cellStyle name="Normal 8 2 2 3 2 2 3" xfId="5264" xr:uid="{00000000-0005-0000-0000-00004A1C0000}"/>
    <cellStyle name="Normal 8 2 2 3 2 2 3 2" xfId="22199" xr:uid="{05D92949-D953-42A2-8337-23F7768FCDB3}"/>
    <cellStyle name="Normal 8 2 2 3 2 2 3 3" xfId="13758" xr:uid="{CBC994DB-F612-4DD1-8838-9661CBCACE86}"/>
    <cellStyle name="Normal 8 2 2 3 2 2 4" xfId="17981" xr:uid="{A85F114B-F7F2-40BF-A66D-CA75B6B8DCC5}"/>
    <cellStyle name="Normal 8 2 2 3 2 2 5" xfId="9507" xr:uid="{57174D88-DF2A-4FDD-B627-DF5F34B348BB}"/>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4757" xr:uid="{CDDF956F-2FBF-47D4-8276-3774FCC94615}"/>
    <cellStyle name="Normal 8 2 2 3 2 3 2 2 3" xfId="16316" xr:uid="{3E0752D1-1101-460E-BA87-188AA9105444}"/>
    <cellStyle name="Normal 8 2 2 3 2 3 2 3" xfId="20539" xr:uid="{C30CE40D-D4CF-44AC-A271-A89CE26810AA}"/>
    <cellStyle name="Normal 8 2 2 3 2 3 2 4" xfId="12097" xr:uid="{60BEB7A4-2A96-4846-8308-8A730C8B1BBF}"/>
    <cellStyle name="Normal 8 2 2 3 2 3 3" xfId="5677" xr:uid="{00000000-0005-0000-0000-00004E1C0000}"/>
    <cellStyle name="Normal 8 2 2 3 2 3 3 2" xfId="22612" xr:uid="{EC2165DE-80AF-4CBB-9A08-6A7FD32261C3}"/>
    <cellStyle name="Normal 8 2 2 3 2 3 3 3" xfId="14171" xr:uid="{0F8203BD-FA64-489F-A6D4-3C14663517C0}"/>
    <cellStyle name="Normal 8 2 2 3 2 3 4" xfId="18394" xr:uid="{FA70EAC9-66C5-4FC7-9E11-71B09AE83E3E}"/>
    <cellStyle name="Normal 8 2 2 3 2 3 5" xfId="9920" xr:uid="{538D7F32-FDE1-41CA-9511-C2DAF7C6095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5170" xr:uid="{1A0C6669-0288-4C65-B745-E7612D5B545B}"/>
    <cellStyle name="Normal 8 2 2 3 2 4 2 2 3" xfId="16729" xr:uid="{61163B20-33B9-499B-90C9-2E687C6E827F}"/>
    <cellStyle name="Normal 8 2 2 3 2 4 2 3" xfId="20952" xr:uid="{1754F1EE-23D2-4A89-80E1-D2AB092D2382}"/>
    <cellStyle name="Normal 8 2 2 3 2 4 2 4" xfId="12510" xr:uid="{8CB57E07-18D8-481E-9F44-CF6449EDCF0C}"/>
    <cellStyle name="Normal 8 2 2 3 2 4 3" xfId="6090" xr:uid="{00000000-0005-0000-0000-0000521C0000}"/>
    <cellStyle name="Normal 8 2 2 3 2 4 3 2" xfId="23025" xr:uid="{AC7EA741-FF3D-493B-AE29-73BE0838A9D2}"/>
    <cellStyle name="Normal 8 2 2 3 2 4 3 3" xfId="14584" xr:uid="{94B2F163-CF52-4904-AA78-39D08620B367}"/>
    <cellStyle name="Normal 8 2 2 3 2 4 4" xfId="18807" xr:uid="{713F3CA5-7C27-49B3-9B2C-60741B81D502}"/>
    <cellStyle name="Normal 8 2 2 3 2 4 5" xfId="10333" xr:uid="{380A5C5F-DFA5-420B-A502-79E7E43EDD16}"/>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5583" xr:uid="{94B7CCD2-4FB9-4AB9-8223-0D2A7BDC83D3}"/>
    <cellStyle name="Normal 8 2 2 3 2 5 2 2 3" xfId="17142" xr:uid="{20347FFA-B8D1-42B4-9F10-593E0282DF33}"/>
    <cellStyle name="Normal 8 2 2 3 2 5 2 3" xfId="21365" xr:uid="{1ECB5A4A-F6CE-468B-9788-02369BE02819}"/>
    <cellStyle name="Normal 8 2 2 3 2 5 2 4" xfId="12923" xr:uid="{C8955A8C-4F59-49D4-A802-1EC43AF33DE7}"/>
    <cellStyle name="Normal 8 2 2 3 2 5 3" xfId="6503" xr:uid="{00000000-0005-0000-0000-0000561C0000}"/>
    <cellStyle name="Normal 8 2 2 3 2 5 3 2" xfId="23438" xr:uid="{C6C2EC1D-C2DC-4575-AF51-A282C219C688}"/>
    <cellStyle name="Normal 8 2 2 3 2 5 3 3" xfId="14997" xr:uid="{367700AC-4D4E-4AC1-8E88-BB2C01E5BDDE}"/>
    <cellStyle name="Normal 8 2 2 3 2 5 4" xfId="19220" xr:uid="{EFDE8659-A280-4083-8795-75031283930A}"/>
    <cellStyle name="Normal 8 2 2 3 2 5 5" xfId="10746" xr:uid="{ED5D108B-A7DC-4503-AAA1-6606D3479506}"/>
    <cellStyle name="Normal 8 2 2 3 2 6" xfId="2633" xr:uid="{00000000-0005-0000-0000-0000571C0000}"/>
    <cellStyle name="Normal 8 2 2 3 2 6 2" xfId="6916" xr:uid="{00000000-0005-0000-0000-0000581C0000}"/>
    <cellStyle name="Normal 8 2 2 3 2 6 2 2" xfId="23851" xr:uid="{F551247E-44DC-48B9-993D-51B305E7E567}"/>
    <cellStyle name="Normal 8 2 2 3 2 6 2 3" xfId="15410" xr:uid="{D689540C-3CEA-4AA5-88C6-CE9D9085B5E3}"/>
    <cellStyle name="Normal 8 2 2 3 2 6 3" xfId="19633" xr:uid="{CAFC0461-E735-460E-ACA4-E29266EBEBF4}"/>
    <cellStyle name="Normal 8 2 2 3 2 6 4" xfId="11181" xr:uid="{64BEE712-2FBC-4134-8668-1B9987464F86}"/>
    <cellStyle name="Normal 8 2 2 3 2 7" xfId="4851" xr:uid="{00000000-0005-0000-0000-0000591C0000}"/>
    <cellStyle name="Normal 8 2 2 3 2 7 2" xfId="21786" xr:uid="{0F7E5970-C643-4ABB-9493-1EB1F8509756}"/>
    <cellStyle name="Normal 8 2 2 3 2 7 3" xfId="13345" xr:uid="{C7EADCDA-1818-4327-BFE3-1ED832846647}"/>
    <cellStyle name="Normal 8 2 2 3 2 8" xfId="17568" xr:uid="{75E3D5AE-8A96-4711-B2A4-8E864762E2A0}"/>
    <cellStyle name="Normal 8 2 2 3 2 9" xfId="9093" xr:uid="{86567BF8-D02A-4768-AC9E-13072E761D75}"/>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4343" xr:uid="{33FA71B9-3E09-4B3B-AD83-14C76A4F4715}"/>
    <cellStyle name="Normal 8 2 2 3 3 2 2 3" xfId="15902" xr:uid="{B00335E1-7868-4506-8CB4-BB0562747718}"/>
    <cellStyle name="Normal 8 2 2 3 3 2 3" xfId="20125" xr:uid="{00C3269D-1026-481E-8CBC-ED93542B6A1D}"/>
    <cellStyle name="Normal 8 2 2 3 3 2 4" xfId="11683" xr:uid="{84EE7D43-E57B-442B-89DC-360C2599AF6E}"/>
    <cellStyle name="Normal 8 2 2 3 3 3" xfId="5263" xr:uid="{00000000-0005-0000-0000-00005D1C0000}"/>
    <cellStyle name="Normal 8 2 2 3 3 3 2" xfId="22198" xr:uid="{2DD3B5D7-93C0-4825-9506-6E43BEE0155D}"/>
    <cellStyle name="Normal 8 2 2 3 3 3 3" xfId="13757" xr:uid="{1CB3A4A8-10B0-4355-B864-94D58890123D}"/>
    <cellStyle name="Normal 8 2 2 3 3 4" xfId="17980" xr:uid="{0D8E669C-E36D-418C-AB15-200C8004672D}"/>
    <cellStyle name="Normal 8 2 2 3 3 5" xfId="9506" xr:uid="{D4131FFA-D819-49B8-AF28-14152BD97655}"/>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4756" xr:uid="{2FD8FF45-113F-4FC8-ACA2-F20836675CA5}"/>
    <cellStyle name="Normal 8 2 2 3 4 2 2 3" xfId="16315" xr:uid="{E45491DA-E42C-4D50-BD7D-FEFD062B827E}"/>
    <cellStyle name="Normal 8 2 2 3 4 2 3" xfId="20538" xr:uid="{2AC29504-B562-423E-B00E-15649FA8D07F}"/>
    <cellStyle name="Normal 8 2 2 3 4 2 4" xfId="12096" xr:uid="{CC2999BB-6DB8-4CB8-9A70-3236D0DF2C7A}"/>
    <cellStyle name="Normal 8 2 2 3 4 3" xfId="5676" xr:uid="{00000000-0005-0000-0000-0000611C0000}"/>
    <cellStyle name="Normal 8 2 2 3 4 3 2" xfId="22611" xr:uid="{A2ADE6B2-8547-4E31-91EE-B72CD05EE265}"/>
    <cellStyle name="Normal 8 2 2 3 4 3 3" xfId="14170" xr:uid="{0F2E1E9F-BAC3-4717-88CE-731088ED4D5D}"/>
    <cellStyle name="Normal 8 2 2 3 4 4" xfId="18393" xr:uid="{1287643E-2FFA-4172-B857-C597E250902C}"/>
    <cellStyle name="Normal 8 2 2 3 4 5" xfId="9919" xr:uid="{8C428839-8317-4EC3-A7AA-EC5D96CDCF26}"/>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5169" xr:uid="{7660C1D1-49BD-4CFC-880C-8A38BBFC8A72}"/>
    <cellStyle name="Normal 8 2 2 3 5 2 2 3" xfId="16728" xr:uid="{54737869-7259-4C3F-BE28-66DC306DD2D1}"/>
    <cellStyle name="Normal 8 2 2 3 5 2 3" xfId="20951" xr:uid="{7638D251-DF5C-4498-A090-4D767D668FFF}"/>
    <cellStyle name="Normal 8 2 2 3 5 2 4" xfId="12509" xr:uid="{2A8E0483-4179-48DD-8267-1280ABB05E50}"/>
    <cellStyle name="Normal 8 2 2 3 5 3" xfId="6089" xr:uid="{00000000-0005-0000-0000-0000651C0000}"/>
    <cellStyle name="Normal 8 2 2 3 5 3 2" xfId="23024" xr:uid="{B36BDC70-42DD-42D6-9F77-34A5641B7D3C}"/>
    <cellStyle name="Normal 8 2 2 3 5 3 3" xfId="14583" xr:uid="{3F69EE20-5EB7-4BEE-9617-B479215859A3}"/>
    <cellStyle name="Normal 8 2 2 3 5 4" xfId="18806" xr:uid="{8A93D9E1-BBBD-4314-9AFD-890F9A719B71}"/>
    <cellStyle name="Normal 8 2 2 3 5 5" xfId="10332" xr:uid="{E8D166F1-BEBA-4871-9BB3-14E1B3DAEC6A}"/>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5582" xr:uid="{79CB6A2F-3842-4A77-89B0-BAFE8D732B17}"/>
    <cellStyle name="Normal 8 2 2 3 6 2 2 3" xfId="17141" xr:uid="{6533B82F-C0C7-4E3C-8856-0EDF098F0C0B}"/>
    <cellStyle name="Normal 8 2 2 3 6 2 3" xfId="21364" xr:uid="{06844883-A772-46C8-8719-7B827EC0D4A2}"/>
    <cellStyle name="Normal 8 2 2 3 6 2 4" xfId="12922" xr:uid="{9146ABBC-EB7E-4B31-85EC-5EB594DCC265}"/>
    <cellStyle name="Normal 8 2 2 3 6 3" xfId="6502" xr:uid="{00000000-0005-0000-0000-0000691C0000}"/>
    <cellStyle name="Normal 8 2 2 3 6 3 2" xfId="23437" xr:uid="{0A902D2B-6AE9-4401-B95C-0B94A162FB48}"/>
    <cellStyle name="Normal 8 2 2 3 6 3 3" xfId="14996" xr:uid="{2142D14C-76DF-424E-84C2-28C19FFA64AD}"/>
    <cellStyle name="Normal 8 2 2 3 6 4" xfId="19219" xr:uid="{3426A202-954C-4E3A-B353-F6D967B22EB7}"/>
    <cellStyle name="Normal 8 2 2 3 6 5" xfId="10745" xr:uid="{17F32146-FC73-45B7-AF5F-4710EA0EF11B}"/>
    <cellStyle name="Normal 8 2 2 3 7" xfId="2632" xr:uid="{00000000-0005-0000-0000-00006A1C0000}"/>
    <cellStyle name="Normal 8 2 2 3 7 2" xfId="6915" xr:uid="{00000000-0005-0000-0000-00006B1C0000}"/>
    <cellStyle name="Normal 8 2 2 3 7 2 2" xfId="23850" xr:uid="{6AA9BCBC-6E96-461A-A513-F33C372C097D}"/>
    <cellStyle name="Normal 8 2 2 3 7 2 3" xfId="15409" xr:uid="{E49FCA15-BB81-4B03-B40E-440E46EA3290}"/>
    <cellStyle name="Normal 8 2 2 3 7 3" xfId="19632" xr:uid="{F4C9E044-1175-4B5E-813C-93C41C8C5454}"/>
    <cellStyle name="Normal 8 2 2 3 7 4" xfId="11180" xr:uid="{D287233E-9C65-4A5F-848A-826BAD93E252}"/>
    <cellStyle name="Normal 8 2 2 3 8" xfId="4850" xr:uid="{00000000-0005-0000-0000-00006C1C0000}"/>
    <cellStyle name="Normal 8 2 2 3 8 2" xfId="21785" xr:uid="{C92CFF78-BC31-44AA-A112-6B2368239979}"/>
    <cellStyle name="Normal 8 2 2 3 8 3" xfId="13344" xr:uid="{D0B097D7-53C0-4B9A-98A3-5F4BB3F6FFBF}"/>
    <cellStyle name="Normal 8 2 2 3 9" xfId="17567" xr:uid="{EA66BC20-F284-4EB4-A503-AD6FB9D23B37}"/>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4345" xr:uid="{738CEC98-1417-47D0-B8A1-7053C9220A1E}"/>
    <cellStyle name="Normal 8 2 2 4 2 2 2 3" xfId="15904" xr:uid="{55506AB9-4DA2-4A8A-94BC-4DD52B1A968C}"/>
    <cellStyle name="Normal 8 2 2 4 2 2 3" xfId="20127" xr:uid="{78C129D1-A711-4718-8251-69FCF0E0B18A}"/>
    <cellStyle name="Normal 8 2 2 4 2 2 4" xfId="11685" xr:uid="{64BCC219-9744-47BB-8B18-A22D055B4771}"/>
    <cellStyle name="Normal 8 2 2 4 2 3" xfId="5265" xr:uid="{00000000-0005-0000-0000-0000711C0000}"/>
    <cellStyle name="Normal 8 2 2 4 2 3 2" xfId="22200" xr:uid="{31056557-CDD0-4E9C-826F-4FE226FA7ED3}"/>
    <cellStyle name="Normal 8 2 2 4 2 3 3" xfId="13759" xr:uid="{4D6E1AF1-C426-41CA-92F3-BD5246618850}"/>
    <cellStyle name="Normal 8 2 2 4 2 4" xfId="17982" xr:uid="{9F65FF4E-B134-4166-8205-C14858445D06}"/>
    <cellStyle name="Normal 8 2 2 4 2 5" xfId="9508" xr:uid="{965C95D0-2260-4CF9-A33D-8BEF004CDFD2}"/>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4758" xr:uid="{1569BE8D-9BC0-4631-B39E-1863EF394506}"/>
    <cellStyle name="Normal 8 2 2 4 3 2 2 3" xfId="16317" xr:uid="{22209EF2-58FA-475A-870F-03A7E86AA8AD}"/>
    <cellStyle name="Normal 8 2 2 4 3 2 3" xfId="20540" xr:uid="{498B4DA4-D8F5-489D-93C1-AF4470E69BE8}"/>
    <cellStyle name="Normal 8 2 2 4 3 2 4" xfId="12098" xr:uid="{236EB081-AA38-4F04-B43C-C5E07171B3FA}"/>
    <cellStyle name="Normal 8 2 2 4 3 3" xfId="5678" xr:uid="{00000000-0005-0000-0000-0000751C0000}"/>
    <cellStyle name="Normal 8 2 2 4 3 3 2" xfId="22613" xr:uid="{3954C96D-CC4B-44DC-9607-FDE59BDDC710}"/>
    <cellStyle name="Normal 8 2 2 4 3 3 3" xfId="14172" xr:uid="{7A7D5C78-ACA3-44B1-AF89-4A2B62784C1B}"/>
    <cellStyle name="Normal 8 2 2 4 3 4" xfId="18395" xr:uid="{34C211C2-194B-40F4-8D96-5A3D8D5B62BE}"/>
    <cellStyle name="Normal 8 2 2 4 3 5" xfId="9921" xr:uid="{F54E5947-9691-445C-B435-C8F95D6AABF7}"/>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5171" xr:uid="{7A4B9A50-F4E5-4525-8C9D-F7811BB4B1AD}"/>
    <cellStyle name="Normal 8 2 2 4 4 2 2 3" xfId="16730" xr:uid="{63DFDB39-859C-4EAC-AE9B-2F205DEC54F8}"/>
    <cellStyle name="Normal 8 2 2 4 4 2 3" xfId="20953" xr:uid="{FC6EF88E-2386-4364-B831-885BD19AA2A0}"/>
    <cellStyle name="Normal 8 2 2 4 4 2 4" xfId="12511" xr:uid="{03583506-9813-4F82-81A6-0C7CC1BF8F4C}"/>
    <cellStyle name="Normal 8 2 2 4 4 3" xfId="6091" xr:uid="{00000000-0005-0000-0000-0000791C0000}"/>
    <cellStyle name="Normal 8 2 2 4 4 3 2" xfId="23026" xr:uid="{AA528204-6BFC-4E75-B945-932DE740F0A4}"/>
    <cellStyle name="Normal 8 2 2 4 4 3 3" xfId="14585" xr:uid="{FAC294CB-2854-41C6-9B24-45D218CD25F4}"/>
    <cellStyle name="Normal 8 2 2 4 4 4" xfId="18808" xr:uid="{992FA3D6-E8BD-4BC6-93DB-A5B13F42F781}"/>
    <cellStyle name="Normal 8 2 2 4 4 5" xfId="10334" xr:uid="{881AF5DF-80E8-47E9-8E24-36C7C9C5A686}"/>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5584" xr:uid="{82829070-0FE7-4E71-B9C8-5BD6B303DAB1}"/>
    <cellStyle name="Normal 8 2 2 4 5 2 2 3" xfId="17143" xr:uid="{35F98B1E-236B-492A-8C83-205B3DB313BF}"/>
    <cellStyle name="Normal 8 2 2 4 5 2 3" xfId="21366" xr:uid="{2F88B481-BCC4-4281-BFC4-88C5F5359CD4}"/>
    <cellStyle name="Normal 8 2 2 4 5 2 4" xfId="12924" xr:uid="{74584BF5-71C0-41CD-A960-184F49244099}"/>
    <cellStyle name="Normal 8 2 2 4 5 3" xfId="6504" xr:uid="{00000000-0005-0000-0000-00007D1C0000}"/>
    <cellStyle name="Normal 8 2 2 4 5 3 2" xfId="23439" xr:uid="{9281F8B0-407F-490D-A52D-F7C0182B92B3}"/>
    <cellStyle name="Normal 8 2 2 4 5 3 3" xfId="14998" xr:uid="{605AF520-A4D8-4147-9CE5-C5F8AE33C5C2}"/>
    <cellStyle name="Normal 8 2 2 4 5 4" xfId="19221" xr:uid="{E5BD1223-C874-4CD5-BD95-D5229C59AA55}"/>
    <cellStyle name="Normal 8 2 2 4 5 5" xfId="10747" xr:uid="{F4DEA1FA-7592-49DD-A4F3-8CF7A6141E43}"/>
    <cellStyle name="Normal 8 2 2 4 6" xfId="2634" xr:uid="{00000000-0005-0000-0000-00007E1C0000}"/>
    <cellStyle name="Normal 8 2 2 4 6 2" xfId="6917" xr:uid="{00000000-0005-0000-0000-00007F1C0000}"/>
    <cellStyle name="Normal 8 2 2 4 6 2 2" xfId="23852" xr:uid="{4A2F8975-083A-4898-8391-DE8D12227BE4}"/>
    <cellStyle name="Normal 8 2 2 4 6 2 3" xfId="15411" xr:uid="{D662B5AD-95CC-4F63-B834-910A56CF58F5}"/>
    <cellStyle name="Normal 8 2 2 4 6 3" xfId="19634" xr:uid="{FC5141AA-6DC3-488E-B6AF-FB331E5EA53B}"/>
    <cellStyle name="Normal 8 2 2 4 6 4" xfId="11182" xr:uid="{940948D7-BCFB-49F0-A4D0-B6C0819BAEB7}"/>
    <cellStyle name="Normal 8 2 2 4 7" xfId="4852" xr:uid="{00000000-0005-0000-0000-0000801C0000}"/>
    <cellStyle name="Normal 8 2 2 4 7 2" xfId="21787" xr:uid="{82193B8B-8AB1-4632-8BAD-BA0C575BACA8}"/>
    <cellStyle name="Normal 8 2 2 4 7 3" xfId="13346" xr:uid="{C38ED984-BAF1-4933-80A0-D17F4791BC1B}"/>
    <cellStyle name="Normal 8 2 2 4 8" xfId="17569" xr:uid="{D10CD0F4-5527-4E48-844B-C248A6AA959F}"/>
    <cellStyle name="Normal 8 2 2 4 9" xfId="9094" xr:uid="{2182F916-15FE-4956-8BCF-91241D33BFFC}"/>
    <cellStyle name="Normal 8 2 2 5" xfId="947" xr:uid="{00000000-0005-0000-0000-0000811C0000}"/>
    <cellStyle name="Normal 8 2 2 5 2" xfId="3181" xr:uid="{00000000-0005-0000-0000-0000821C0000}"/>
    <cellStyle name="Normal 8 2 2 5 2 2" xfId="7403" xr:uid="{00000000-0005-0000-0000-0000831C0000}"/>
    <cellStyle name="Normal 8 2 2 5 2 2 2" xfId="24338" xr:uid="{A2C73277-B23F-4D74-A3C4-BA22EC2522EA}"/>
    <cellStyle name="Normal 8 2 2 5 2 2 3" xfId="15897" xr:uid="{3110724A-7C70-47F5-8CC0-127EB0B7FADB}"/>
    <cellStyle name="Normal 8 2 2 5 2 3" xfId="20120" xr:uid="{3AC0A412-6F03-4593-8158-D1BBCD056EA3}"/>
    <cellStyle name="Normal 8 2 2 5 2 4" xfId="11678" xr:uid="{95CABAC0-5456-4C6C-9DF7-FC9E4083CD1D}"/>
    <cellStyle name="Normal 8 2 2 5 3" xfId="5258" xr:uid="{00000000-0005-0000-0000-0000841C0000}"/>
    <cellStyle name="Normal 8 2 2 5 3 2" xfId="22193" xr:uid="{4C18531A-C044-483F-94A0-CC3A4B5F6AFB}"/>
    <cellStyle name="Normal 8 2 2 5 3 3" xfId="13752" xr:uid="{E56320CF-7F5E-411E-8BA4-431AE383282E}"/>
    <cellStyle name="Normal 8 2 2 5 4" xfId="17975" xr:uid="{BD41F503-7E54-4430-B6B2-F965E7784A68}"/>
    <cellStyle name="Normal 8 2 2 5 5" xfId="9501" xr:uid="{3634B729-04E0-4322-B333-F5564C44D28E}"/>
    <cellStyle name="Normal 8 2 2 6" xfId="1364" xr:uid="{00000000-0005-0000-0000-0000851C0000}"/>
    <cellStyle name="Normal 8 2 2 6 2" xfId="3594" xr:uid="{00000000-0005-0000-0000-0000861C0000}"/>
    <cellStyle name="Normal 8 2 2 6 2 2" xfId="7816" xr:uid="{00000000-0005-0000-0000-0000871C0000}"/>
    <cellStyle name="Normal 8 2 2 6 2 2 2" xfId="24751" xr:uid="{C6A9B76C-B3AB-4E9E-818B-045180DA7205}"/>
    <cellStyle name="Normal 8 2 2 6 2 2 3" xfId="16310" xr:uid="{46565169-E55A-4BF5-9A99-CD988E0CAB72}"/>
    <cellStyle name="Normal 8 2 2 6 2 3" xfId="20533" xr:uid="{CF82CBE6-EB46-4275-9616-E6F2E61E9307}"/>
    <cellStyle name="Normal 8 2 2 6 2 4" xfId="12091" xr:uid="{5BCCF197-5B8C-44FD-A7A4-8A8F0E4C1483}"/>
    <cellStyle name="Normal 8 2 2 6 3" xfId="5671" xr:uid="{00000000-0005-0000-0000-0000881C0000}"/>
    <cellStyle name="Normal 8 2 2 6 3 2" xfId="22606" xr:uid="{77EAB5C8-4AC8-432B-AA95-91BEB0DD9728}"/>
    <cellStyle name="Normal 8 2 2 6 3 3" xfId="14165" xr:uid="{E0DD0DA0-5DB3-441F-9CFE-A99D70B9A294}"/>
    <cellStyle name="Normal 8 2 2 6 4" xfId="18388" xr:uid="{A71A2463-7697-4331-9044-68A01892DBCA}"/>
    <cellStyle name="Normal 8 2 2 6 5" xfId="9914" xr:uid="{823DFF72-7169-4C4E-97DA-3CB543645C48}"/>
    <cellStyle name="Normal 8 2 2 7" xfId="1777" xr:uid="{00000000-0005-0000-0000-0000891C0000}"/>
    <cellStyle name="Normal 8 2 2 7 2" xfId="4007" xr:uid="{00000000-0005-0000-0000-00008A1C0000}"/>
    <cellStyle name="Normal 8 2 2 7 2 2" xfId="8229" xr:uid="{00000000-0005-0000-0000-00008B1C0000}"/>
    <cellStyle name="Normal 8 2 2 7 2 2 2" xfId="25164" xr:uid="{D5B431E1-2DDD-4729-9824-DB8F9750E26A}"/>
    <cellStyle name="Normal 8 2 2 7 2 2 3" xfId="16723" xr:uid="{7A53B370-D08E-4F19-B10F-B1AEDEF0DB7A}"/>
    <cellStyle name="Normal 8 2 2 7 2 3" xfId="20946" xr:uid="{71D3C8D8-9DEA-43CD-8BF6-AC6B13801CA0}"/>
    <cellStyle name="Normal 8 2 2 7 2 4" xfId="12504" xr:uid="{AD69D736-265A-4691-AD45-5B0AD5112614}"/>
    <cellStyle name="Normal 8 2 2 7 3" xfId="6084" xr:uid="{00000000-0005-0000-0000-00008C1C0000}"/>
    <cellStyle name="Normal 8 2 2 7 3 2" xfId="23019" xr:uid="{73EFA502-19D1-48EF-A488-B8ECD42253AB}"/>
    <cellStyle name="Normal 8 2 2 7 3 3" xfId="14578" xr:uid="{6561EF75-2C09-4372-B2DC-D0E17CE041AC}"/>
    <cellStyle name="Normal 8 2 2 7 4" xfId="18801" xr:uid="{B03625A4-FFC8-4F33-A463-AF32D33FC5A4}"/>
    <cellStyle name="Normal 8 2 2 7 5" xfId="10327" xr:uid="{ECD99863-95CE-4FEE-8CE9-90E742F4C161}"/>
    <cellStyle name="Normal 8 2 2 8" xfId="2191" xr:uid="{00000000-0005-0000-0000-00008D1C0000}"/>
    <cellStyle name="Normal 8 2 2 8 2" xfId="4420" xr:uid="{00000000-0005-0000-0000-00008E1C0000}"/>
    <cellStyle name="Normal 8 2 2 8 2 2" xfId="8642" xr:uid="{00000000-0005-0000-0000-00008F1C0000}"/>
    <cellStyle name="Normal 8 2 2 8 2 2 2" xfId="25577" xr:uid="{59ECBEBE-CDA9-4467-86C8-6B4E0322D348}"/>
    <cellStyle name="Normal 8 2 2 8 2 2 3" xfId="17136" xr:uid="{A524C7A5-CC68-4B5B-8DC5-B42F6523A111}"/>
    <cellStyle name="Normal 8 2 2 8 2 3" xfId="21359" xr:uid="{588D7416-8CC3-4353-A07D-3B52EB3CD3F8}"/>
    <cellStyle name="Normal 8 2 2 8 2 4" xfId="12917" xr:uid="{0950C4E4-C7DF-4359-9D35-D52F2BE9F955}"/>
    <cellStyle name="Normal 8 2 2 8 3" xfId="6497" xr:uid="{00000000-0005-0000-0000-0000901C0000}"/>
    <cellStyle name="Normal 8 2 2 8 3 2" xfId="23432" xr:uid="{A00E1A90-2699-4691-89CE-EF76DF6232FF}"/>
    <cellStyle name="Normal 8 2 2 8 3 3" xfId="14991" xr:uid="{E271A940-BA42-45F6-BE71-10B4E9AD0399}"/>
    <cellStyle name="Normal 8 2 2 8 4" xfId="19214" xr:uid="{04A71A9B-8726-442B-97EA-5C05DCD1CB66}"/>
    <cellStyle name="Normal 8 2 2 8 5" xfId="10740" xr:uid="{A1489842-4F1F-4A04-BA1D-3AC53F5E8D4A}"/>
    <cellStyle name="Normal 8 2 2 9" xfId="2627" xr:uid="{00000000-0005-0000-0000-0000911C0000}"/>
    <cellStyle name="Normal 8 2 2 9 2" xfId="6910" xr:uid="{00000000-0005-0000-0000-0000921C0000}"/>
    <cellStyle name="Normal 8 2 2 9 2 2" xfId="23845" xr:uid="{E068C97A-AE46-430D-9639-18C828901A64}"/>
    <cellStyle name="Normal 8 2 2 9 2 3" xfId="15404" xr:uid="{33ABEE83-8B80-4DE5-B898-E70264A20221}"/>
    <cellStyle name="Normal 8 2 2 9 3" xfId="19627" xr:uid="{A3499946-BAAF-4247-93D1-D4C934646B59}"/>
    <cellStyle name="Normal 8 2 2 9 4" xfId="11175" xr:uid="{A470DA9B-EDA7-4F54-B1FC-C532B51D4521}"/>
    <cellStyle name="Normal 8 2 3" xfId="488" xr:uid="{00000000-0005-0000-0000-0000931C0000}"/>
    <cellStyle name="Normal 8 2 3 10" xfId="17570" xr:uid="{03227E39-C9DE-423F-95E8-0258307E9606}"/>
    <cellStyle name="Normal 8 2 3 11" xfId="9095" xr:uid="{36FC3FBB-227A-4C95-A895-121A559FEBAD}"/>
    <cellStyle name="Normal 8 2 3 2" xfId="489" xr:uid="{00000000-0005-0000-0000-0000941C0000}"/>
    <cellStyle name="Normal 8 2 3 2 10" xfId="9096" xr:uid="{C8A57650-5CC5-4605-BD49-A9C062D8E4A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4348" xr:uid="{08DC92A9-A40D-4B15-B905-119DD0EE4B3A}"/>
    <cellStyle name="Normal 8 2 3 2 2 2 2 2 3" xfId="15907" xr:uid="{8E2AFB43-D53F-4A24-BE62-1F3F6070910F}"/>
    <cellStyle name="Normal 8 2 3 2 2 2 2 3" xfId="20130" xr:uid="{0884C2EE-B154-48D0-A5DA-F62D9C36D256}"/>
    <cellStyle name="Normal 8 2 3 2 2 2 2 4" xfId="11688" xr:uid="{FC1BB792-62DA-4553-A8FF-F5F252C77450}"/>
    <cellStyle name="Normal 8 2 3 2 2 2 3" xfId="5268" xr:uid="{00000000-0005-0000-0000-0000991C0000}"/>
    <cellStyle name="Normal 8 2 3 2 2 2 3 2" xfId="22203" xr:uid="{2EF5599D-C3CE-4A42-BA25-78C7A1AD42C1}"/>
    <cellStyle name="Normal 8 2 3 2 2 2 3 3" xfId="13762" xr:uid="{659A5FAB-2B82-4BD8-B063-AFB3BACF12FB}"/>
    <cellStyle name="Normal 8 2 3 2 2 2 4" xfId="17985" xr:uid="{82994273-1444-4D2F-8CFA-A2850B9FB168}"/>
    <cellStyle name="Normal 8 2 3 2 2 2 5" xfId="9511" xr:uid="{C81995F2-5F84-4563-8944-3B0EF6D5BD0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4761" xr:uid="{D9091AF1-3671-4B89-865F-BB3944990CFC}"/>
    <cellStyle name="Normal 8 2 3 2 2 3 2 2 3" xfId="16320" xr:uid="{22DC2D28-6ED3-43EF-8679-971CB1558446}"/>
    <cellStyle name="Normal 8 2 3 2 2 3 2 3" xfId="20543" xr:uid="{A3809BCA-0B9E-465E-A603-15256A906C63}"/>
    <cellStyle name="Normal 8 2 3 2 2 3 2 4" xfId="12101" xr:uid="{2748B73F-6184-4AF8-9EBA-043ED7B7E780}"/>
    <cellStyle name="Normal 8 2 3 2 2 3 3" xfId="5681" xr:uid="{00000000-0005-0000-0000-00009D1C0000}"/>
    <cellStyle name="Normal 8 2 3 2 2 3 3 2" xfId="22616" xr:uid="{B0D0664D-D576-4243-89D5-B2779293E08A}"/>
    <cellStyle name="Normal 8 2 3 2 2 3 3 3" xfId="14175" xr:uid="{27779463-B913-4A35-A155-C4C27F2B112D}"/>
    <cellStyle name="Normal 8 2 3 2 2 3 4" xfId="18398" xr:uid="{1E340F78-884F-438B-B736-CF3E803BAA13}"/>
    <cellStyle name="Normal 8 2 3 2 2 3 5" xfId="9924" xr:uid="{F7107108-CA09-48C5-91C4-3CF9BE04D555}"/>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5174" xr:uid="{B79C47CF-8A93-4C7E-8438-E2C3EE253CC3}"/>
    <cellStyle name="Normal 8 2 3 2 2 4 2 2 3" xfId="16733" xr:uid="{844D3013-F0A6-48E1-90D4-DD0D697ED2D8}"/>
    <cellStyle name="Normal 8 2 3 2 2 4 2 3" xfId="20956" xr:uid="{9B088A0C-9A62-4488-8576-350567AA3067}"/>
    <cellStyle name="Normal 8 2 3 2 2 4 2 4" xfId="12514" xr:uid="{56A60DEA-A00B-443C-8A62-E83DC01D1FA1}"/>
    <cellStyle name="Normal 8 2 3 2 2 4 3" xfId="6094" xr:uid="{00000000-0005-0000-0000-0000A11C0000}"/>
    <cellStyle name="Normal 8 2 3 2 2 4 3 2" xfId="23029" xr:uid="{A746C683-5437-47A6-81B1-6E170031E247}"/>
    <cellStyle name="Normal 8 2 3 2 2 4 3 3" xfId="14588" xr:uid="{3D3C1CCE-7F79-4F40-9678-1A94C809DD40}"/>
    <cellStyle name="Normal 8 2 3 2 2 4 4" xfId="18811" xr:uid="{958ABED0-DB13-40B6-AD1A-B814D2C315A7}"/>
    <cellStyle name="Normal 8 2 3 2 2 4 5" xfId="10337" xr:uid="{51ECD34E-3BE3-435E-A68F-0140220B73F7}"/>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5587" xr:uid="{45948B1F-664C-47B9-9BC7-2DEB7BF7E239}"/>
    <cellStyle name="Normal 8 2 3 2 2 5 2 2 3" xfId="17146" xr:uid="{6E14EF2F-5812-401D-8CD0-E3DA4F555B07}"/>
    <cellStyle name="Normal 8 2 3 2 2 5 2 3" xfId="21369" xr:uid="{C4E404E6-4D52-45F1-846D-D1D185F3F988}"/>
    <cellStyle name="Normal 8 2 3 2 2 5 2 4" xfId="12927" xr:uid="{A23D26CE-61EB-4A9E-99D9-704BA21527EB}"/>
    <cellStyle name="Normal 8 2 3 2 2 5 3" xfId="6507" xr:uid="{00000000-0005-0000-0000-0000A51C0000}"/>
    <cellStyle name="Normal 8 2 3 2 2 5 3 2" xfId="23442" xr:uid="{EB62708E-A77D-42A4-B91D-6BA5515FC53D}"/>
    <cellStyle name="Normal 8 2 3 2 2 5 3 3" xfId="15001" xr:uid="{0F92992C-9429-4200-94EE-546E3CCCD1C6}"/>
    <cellStyle name="Normal 8 2 3 2 2 5 4" xfId="19224" xr:uid="{324417B0-88EA-4CAB-9BDF-F6B4CB9C49F8}"/>
    <cellStyle name="Normal 8 2 3 2 2 5 5" xfId="10750" xr:uid="{B7BF6181-6ED2-4B0E-80DA-6A72A106F8A9}"/>
    <cellStyle name="Normal 8 2 3 2 2 6" xfId="2637" xr:uid="{00000000-0005-0000-0000-0000A61C0000}"/>
    <cellStyle name="Normal 8 2 3 2 2 6 2" xfId="6920" xr:uid="{00000000-0005-0000-0000-0000A71C0000}"/>
    <cellStyle name="Normal 8 2 3 2 2 6 2 2" xfId="23855" xr:uid="{BFCB9EF0-EF93-42AB-9FC8-1349DF8551D9}"/>
    <cellStyle name="Normal 8 2 3 2 2 6 2 3" xfId="15414" xr:uid="{72F27505-83CF-4C66-9EE1-53A0A744F9E1}"/>
    <cellStyle name="Normal 8 2 3 2 2 6 3" xfId="19637" xr:uid="{B4333D78-BA26-4775-A525-DC6116351F99}"/>
    <cellStyle name="Normal 8 2 3 2 2 6 4" xfId="11185" xr:uid="{143004B8-543C-42D6-889D-449115D74D3E}"/>
    <cellStyle name="Normal 8 2 3 2 2 7" xfId="4855" xr:uid="{00000000-0005-0000-0000-0000A81C0000}"/>
    <cellStyle name="Normal 8 2 3 2 2 7 2" xfId="21790" xr:uid="{A774DB0A-2BD3-43C9-A7C5-B19200A04A4B}"/>
    <cellStyle name="Normal 8 2 3 2 2 7 3" xfId="13349" xr:uid="{6642F4FE-9A1A-4058-B1EC-6603600A6A65}"/>
    <cellStyle name="Normal 8 2 3 2 2 8" xfId="17572" xr:uid="{588BE6C1-A6E0-4607-BAB7-77F94D236D4C}"/>
    <cellStyle name="Normal 8 2 3 2 2 9" xfId="9097" xr:uid="{D923BAC5-3D50-46A3-BFCF-BB7C8F6EE59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4347" xr:uid="{C15BB7D3-C628-4CC4-93F8-08A68AD762A8}"/>
    <cellStyle name="Normal 8 2 3 2 3 2 2 3" xfId="15906" xr:uid="{7C406AA2-8585-4D57-AF2B-BB3F6DA293BA}"/>
    <cellStyle name="Normal 8 2 3 2 3 2 3" xfId="20129" xr:uid="{161C2249-C5B0-480C-B607-31799DF476B5}"/>
    <cellStyle name="Normal 8 2 3 2 3 2 4" xfId="11687" xr:uid="{94F4750E-9972-471F-BBB4-C0C05CFA2F53}"/>
    <cellStyle name="Normal 8 2 3 2 3 3" xfId="5267" xr:uid="{00000000-0005-0000-0000-0000AC1C0000}"/>
    <cellStyle name="Normal 8 2 3 2 3 3 2" xfId="22202" xr:uid="{C6389363-3658-48BA-AAE6-28C6A6D4187A}"/>
    <cellStyle name="Normal 8 2 3 2 3 3 3" xfId="13761" xr:uid="{4E8973F0-5B05-425B-82B2-DFE3B83A7F6B}"/>
    <cellStyle name="Normal 8 2 3 2 3 4" xfId="17984" xr:uid="{ACB8EF2C-4138-4BF0-B6A7-7CE1E3B6A805}"/>
    <cellStyle name="Normal 8 2 3 2 3 5" xfId="9510" xr:uid="{B21CB18D-6F27-4C69-8A6E-CC18F4158E25}"/>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4760" xr:uid="{6AFAF971-F102-4733-B14C-1851D3FB9EFA}"/>
    <cellStyle name="Normal 8 2 3 2 4 2 2 3" xfId="16319" xr:uid="{1C908707-B097-4C9B-A720-36AE200C5AE8}"/>
    <cellStyle name="Normal 8 2 3 2 4 2 3" xfId="20542" xr:uid="{31DB1FCD-D694-43A0-B7C3-3DC88F10AE38}"/>
    <cellStyle name="Normal 8 2 3 2 4 2 4" xfId="12100" xr:uid="{27D1CAE9-CE17-46E0-A674-C66B329C8D0D}"/>
    <cellStyle name="Normal 8 2 3 2 4 3" xfId="5680" xr:uid="{00000000-0005-0000-0000-0000B01C0000}"/>
    <cellStyle name="Normal 8 2 3 2 4 3 2" xfId="22615" xr:uid="{C7942D2F-A65C-4BE1-88E6-9A2ED5617DF0}"/>
    <cellStyle name="Normal 8 2 3 2 4 3 3" xfId="14174" xr:uid="{EF5EF6EF-CD1D-45DE-A00E-210C263BCEE3}"/>
    <cellStyle name="Normal 8 2 3 2 4 4" xfId="18397" xr:uid="{10226A41-4E83-4600-A23C-8FFDB6F41156}"/>
    <cellStyle name="Normal 8 2 3 2 4 5" xfId="9923" xr:uid="{E8117B58-4B13-4E46-891B-1490FE20071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5173" xr:uid="{F7E0DCD4-02ED-4CA2-B9A3-16C3AEE264C5}"/>
    <cellStyle name="Normal 8 2 3 2 5 2 2 3" xfId="16732" xr:uid="{49F9F3E7-D869-4BDA-9F90-E0278C8830AD}"/>
    <cellStyle name="Normal 8 2 3 2 5 2 3" xfId="20955" xr:uid="{1F995F2E-3963-49C1-94AC-ED0B81CEBB30}"/>
    <cellStyle name="Normal 8 2 3 2 5 2 4" xfId="12513" xr:uid="{86002DFA-73CE-4332-812A-959D1151C363}"/>
    <cellStyle name="Normal 8 2 3 2 5 3" xfId="6093" xr:uid="{00000000-0005-0000-0000-0000B41C0000}"/>
    <cellStyle name="Normal 8 2 3 2 5 3 2" xfId="23028" xr:uid="{02519714-439F-4155-8635-B5EE464E835F}"/>
    <cellStyle name="Normal 8 2 3 2 5 3 3" xfId="14587" xr:uid="{10BE834B-2041-4AF8-B87D-9094A56851FF}"/>
    <cellStyle name="Normal 8 2 3 2 5 4" xfId="18810" xr:uid="{A9EDA6C3-1E9E-4A78-8A27-CA3FE1067CA0}"/>
    <cellStyle name="Normal 8 2 3 2 5 5" xfId="10336" xr:uid="{3E184ABA-D3FD-41C5-BF2A-BBA894DEBDB8}"/>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5586" xr:uid="{71B96D6C-8B14-4F65-894D-859BF2CB8790}"/>
    <cellStyle name="Normal 8 2 3 2 6 2 2 3" xfId="17145" xr:uid="{5680B2FE-4781-4DF2-948C-228D7DA58063}"/>
    <cellStyle name="Normal 8 2 3 2 6 2 3" xfId="21368" xr:uid="{A1447C7C-7328-45E2-819B-D22DD08E7560}"/>
    <cellStyle name="Normal 8 2 3 2 6 2 4" xfId="12926" xr:uid="{8D3DEB8A-EA04-42CC-8138-A6F0CEF85B3B}"/>
    <cellStyle name="Normal 8 2 3 2 6 3" xfId="6506" xr:uid="{00000000-0005-0000-0000-0000B81C0000}"/>
    <cellStyle name="Normal 8 2 3 2 6 3 2" xfId="23441" xr:uid="{D33EC3AD-270B-4C2C-8DC3-0C51E3D97D55}"/>
    <cellStyle name="Normal 8 2 3 2 6 3 3" xfId="15000" xr:uid="{76297C46-5D9A-4BA7-A88B-C5BFEC658124}"/>
    <cellStyle name="Normal 8 2 3 2 6 4" xfId="19223" xr:uid="{43863542-8472-4E0D-A888-198D065BCCBC}"/>
    <cellStyle name="Normal 8 2 3 2 6 5" xfId="10749" xr:uid="{483E20B6-233B-42A3-BF8D-E61A9DC6009F}"/>
    <cellStyle name="Normal 8 2 3 2 7" xfId="2636" xr:uid="{00000000-0005-0000-0000-0000B91C0000}"/>
    <cellStyle name="Normal 8 2 3 2 7 2" xfId="6919" xr:uid="{00000000-0005-0000-0000-0000BA1C0000}"/>
    <cellStyle name="Normal 8 2 3 2 7 2 2" xfId="23854" xr:uid="{9FF86EFC-E33E-4D01-AF24-BEF9819AB1B0}"/>
    <cellStyle name="Normal 8 2 3 2 7 2 3" xfId="15413" xr:uid="{1AE4521D-80BB-409C-9F22-F64D6BB015E6}"/>
    <cellStyle name="Normal 8 2 3 2 7 3" xfId="19636" xr:uid="{1569846D-26E5-476A-9D9A-2E4F0AB9DFA0}"/>
    <cellStyle name="Normal 8 2 3 2 7 4" xfId="11184" xr:uid="{C0E29473-FDAD-497B-A58D-5BDE4BAC2833}"/>
    <cellStyle name="Normal 8 2 3 2 8" xfId="4854" xr:uid="{00000000-0005-0000-0000-0000BB1C0000}"/>
    <cellStyle name="Normal 8 2 3 2 8 2" xfId="21789" xr:uid="{038DCE89-C501-4D39-B7EC-D022927863CB}"/>
    <cellStyle name="Normal 8 2 3 2 8 3" xfId="13348" xr:uid="{B65EADEC-3FFB-47FB-9941-5127BC0DCC27}"/>
    <cellStyle name="Normal 8 2 3 2 9" xfId="17571" xr:uid="{8942DF43-1948-4526-B0F7-C7CE819D9DA1}"/>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4349" xr:uid="{5881CFE1-65CF-4A58-8F1A-1D6033CBEACC}"/>
    <cellStyle name="Normal 8 2 3 3 2 2 2 3" xfId="15908" xr:uid="{D77767D6-76D5-4BD1-BF6A-686EC501AB0B}"/>
    <cellStyle name="Normal 8 2 3 3 2 2 3" xfId="20131" xr:uid="{800682EA-EBDB-4E82-8494-9BB94F7AE4D8}"/>
    <cellStyle name="Normal 8 2 3 3 2 2 4" xfId="11689" xr:uid="{B56040AF-EDFD-42F8-9721-B9D36FACE01F}"/>
    <cellStyle name="Normal 8 2 3 3 2 3" xfId="5269" xr:uid="{00000000-0005-0000-0000-0000C01C0000}"/>
    <cellStyle name="Normal 8 2 3 3 2 3 2" xfId="22204" xr:uid="{5EEA8998-ED04-40F1-9F7E-023909B33405}"/>
    <cellStyle name="Normal 8 2 3 3 2 3 3" xfId="13763" xr:uid="{4A97E7B5-22BC-492E-BB57-936F028042AD}"/>
    <cellStyle name="Normal 8 2 3 3 2 4" xfId="17986" xr:uid="{60E8185D-D73C-4CC0-846F-56B6DF8AEA10}"/>
    <cellStyle name="Normal 8 2 3 3 2 5" xfId="9512" xr:uid="{C9C85075-2EF3-4960-A4A7-6CE51188F75F}"/>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4762" xr:uid="{8BD6C2E3-FCC5-4334-9B7D-6B000A49E5B7}"/>
    <cellStyle name="Normal 8 2 3 3 3 2 2 3" xfId="16321" xr:uid="{F35D8589-97D2-45A9-B793-2A29C751B728}"/>
    <cellStyle name="Normal 8 2 3 3 3 2 3" xfId="20544" xr:uid="{1CF99C9E-75B0-40EA-891A-79081E74F8D8}"/>
    <cellStyle name="Normal 8 2 3 3 3 2 4" xfId="12102" xr:uid="{E1B1F963-EDCD-4341-8765-78BE5BCD252E}"/>
    <cellStyle name="Normal 8 2 3 3 3 3" xfId="5682" xr:uid="{00000000-0005-0000-0000-0000C41C0000}"/>
    <cellStyle name="Normal 8 2 3 3 3 3 2" xfId="22617" xr:uid="{BD629DA4-DA5F-4367-A2D7-5240920C4F7F}"/>
    <cellStyle name="Normal 8 2 3 3 3 3 3" xfId="14176" xr:uid="{C4DD7C87-05D9-463A-82A5-5570BEC87089}"/>
    <cellStyle name="Normal 8 2 3 3 3 4" xfId="18399" xr:uid="{A93A1357-72C6-49D9-A3EE-FAEED50EDCB1}"/>
    <cellStyle name="Normal 8 2 3 3 3 5" xfId="9925" xr:uid="{03C77571-ECD9-4AFD-8BA8-775BA5594E08}"/>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5175" xr:uid="{5FCCBCD4-050E-4007-A670-05739B78956B}"/>
    <cellStyle name="Normal 8 2 3 3 4 2 2 3" xfId="16734" xr:uid="{3AEBA82D-D45D-44BE-A84A-71BFEFAA768F}"/>
    <cellStyle name="Normal 8 2 3 3 4 2 3" xfId="20957" xr:uid="{951EA2A0-747B-4CB4-BC45-074B631BAF82}"/>
    <cellStyle name="Normal 8 2 3 3 4 2 4" xfId="12515" xr:uid="{95586290-EDE8-40DB-B0DD-AABE99450D7C}"/>
    <cellStyle name="Normal 8 2 3 3 4 3" xfId="6095" xr:uid="{00000000-0005-0000-0000-0000C81C0000}"/>
    <cellStyle name="Normal 8 2 3 3 4 3 2" xfId="23030" xr:uid="{9B3CF9A6-1BA6-4C57-B324-99FE03213A04}"/>
    <cellStyle name="Normal 8 2 3 3 4 3 3" xfId="14589" xr:uid="{075885DE-500B-4494-A58E-26772F027994}"/>
    <cellStyle name="Normal 8 2 3 3 4 4" xfId="18812" xr:uid="{6A3B4057-57F5-465B-A23D-6363AEECFF67}"/>
    <cellStyle name="Normal 8 2 3 3 4 5" xfId="10338" xr:uid="{F58CEB64-9D5E-44DE-96ED-E0E5C467195F}"/>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5588" xr:uid="{DEACB02A-6CCB-40EE-9B90-4827A20EC176}"/>
    <cellStyle name="Normal 8 2 3 3 5 2 2 3" xfId="17147" xr:uid="{AA7B81BF-AAD8-4EDA-B12F-C12333A7029C}"/>
    <cellStyle name="Normal 8 2 3 3 5 2 3" xfId="21370" xr:uid="{8F56095B-E30E-4582-9CD8-924B716625DA}"/>
    <cellStyle name="Normal 8 2 3 3 5 2 4" xfId="12928" xr:uid="{AF2C1A12-3E22-4566-90DF-7FED16CD59E9}"/>
    <cellStyle name="Normal 8 2 3 3 5 3" xfId="6508" xr:uid="{00000000-0005-0000-0000-0000CC1C0000}"/>
    <cellStyle name="Normal 8 2 3 3 5 3 2" xfId="23443" xr:uid="{CC15E376-2B50-4ECE-A16F-09265472331A}"/>
    <cellStyle name="Normal 8 2 3 3 5 3 3" xfId="15002" xr:uid="{C72F0A46-6B9C-4BA6-8437-EEC28030C57E}"/>
    <cellStyle name="Normal 8 2 3 3 5 4" xfId="19225" xr:uid="{2AEE951A-8C18-4543-9E96-AACC61F842EE}"/>
    <cellStyle name="Normal 8 2 3 3 5 5" xfId="10751" xr:uid="{65A78DDD-C317-4EEC-A909-C1960DCF0BE1}"/>
    <cellStyle name="Normal 8 2 3 3 6" xfId="2638" xr:uid="{00000000-0005-0000-0000-0000CD1C0000}"/>
    <cellStyle name="Normal 8 2 3 3 6 2" xfId="6921" xr:uid="{00000000-0005-0000-0000-0000CE1C0000}"/>
    <cellStyle name="Normal 8 2 3 3 6 2 2" xfId="23856" xr:uid="{862E89D8-37FE-4512-AB81-97D286E0177C}"/>
    <cellStyle name="Normal 8 2 3 3 6 2 3" xfId="15415" xr:uid="{AB376650-07D3-45FD-AB44-38235C3BC50C}"/>
    <cellStyle name="Normal 8 2 3 3 6 3" xfId="19638" xr:uid="{83887665-E996-4DF8-AADC-B4BADAE7A1A7}"/>
    <cellStyle name="Normal 8 2 3 3 6 4" xfId="11186" xr:uid="{D82C741E-0D92-463F-A033-8F577B6FFEFD}"/>
    <cellStyle name="Normal 8 2 3 3 7" xfId="4856" xr:uid="{00000000-0005-0000-0000-0000CF1C0000}"/>
    <cellStyle name="Normal 8 2 3 3 7 2" xfId="21791" xr:uid="{D5C44D77-F85D-4E6F-A3D9-5016B404E301}"/>
    <cellStyle name="Normal 8 2 3 3 7 3" xfId="13350" xr:uid="{2B44C247-09CE-4C1F-8F01-1D1032B21748}"/>
    <cellStyle name="Normal 8 2 3 3 8" xfId="17573" xr:uid="{E1CD923E-C06A-4958-9799-CAD5E2481DEB}"/>
    <cellStyle name="Normal 8 2 3 3 9" xfId="9098" xr:uid="{A7152E8D-543A-4148-B9ED-7D8D4F1CD442}"/>
    <cellStyle name="Normal 8 2 3 4" xfId="955" xr:uid="{00000000-0005-0000-0000-0000D01C0000}"/>
    <cellStyle name="Normal 8 2 3 4 2" xfId="3189" xr:uid="{00000000-0005-0000-0000-0000D11C0000}"/>
    <cellStyle name="Normal 8 2 3 4 2 2" xfId="7411" xr:uid="{00000000-0005-0000-0000-0000D21C0000}"/>
    <cellStyle name="Normal 8 2 3 4 2 2 2" xfId="24346" xr:uid="{81F149F6-FDF6-4BE7-995F-5B320E2F5B22}"/>
    <cellStyle name="Normal 8 2 3 4 2 2 3" xfId="15905" xr:uid="{4A300146-FF7C-4D14-A5FA-A4CAED8480BC}"/>
    <cellStyle name="Normal 8 2 3 4 2 3" xfId="20128" xr:uid="{F59C0893-22E8-4ECC-BF49-95303C191DB0}"/>
    <cellStyle name="Normal 8 2 3 4 2 4" xfId="11686" xr:uid="{FACC610F-F45A-4091-B133-120FE9F7C4CA}"/>
    <cellStyle name="Normal 8 2 3 4 3" xfId="5266" xr:uid="{00000000-0005-0000-0000-0000D31C0000}"/>
    <cellStyle name="Normal 8 2 3 4 3 2" xfId="22201" xr:uid="{E2B1AE1A-CBDD-4FCE-8BFD-8338944AA940}"/>
    <cellStyle name="Normal 8 2 3 4 3 3" xfId="13760" xr:uid="{97C011FF-3154-46E1-8D82-5AFE558E93FA}"/>
    <cellStyle name="Normal 8 2 3 4 4" xfId="17983" xr:uid="{7F3A3943-32E6-4D0E-8521-0151F997FEE9}"/>
    <cellStyle name="Normal 8 2 3 4 5" xfId="9509" xr:uid="{851DE97A-6C79-4586-8263-DA6CA05F869B}"/>
    <cellStyle name="Normal 8 2 3 5" xfId="1372" xr:uid="{00000000-0005-0000-0000-0000D41C0000}"/>
    <cellStyle name="Normal 8 2 3 5 2" xfId="3602" xr:uid="{00000000-0005-0000-0000-0000D51C0000}"/>
    <cellStyle name="Normal 8 2 3 5 2 2" xfId="7824" xr:uid="{00000000-0005-0000-0000-0000D61C0000}"/>
    <cellStyle name="Normal 8 2 3 5 2 2 2" xfId="24759" xr:uid="{E68550F5-523D-40FA-AD48-741527CE7E01}"/>
    <cellStyle name="Normal 8 2 3 5 2 2 3" xfId="16318" xr:uid="{DD7FDA2C-9CC3-4C25-BF02-F4D1F2638B11}"/>
    <cellStyle name="Normal 8 2 3 5 2 3" xfId="20541" xr:uid="{0F163609-9DA9-4815-80D1-2007BE391D93}"/>
    <cellStyle name="Normal 8 2 3 5 2 4" xfId="12099" xr:uid="{FC28BFB5-95D5-4C38-8E8E-26702B997454}"/>
    <cellStyle name="Normal 8 2 3 5 3" xfId="5679" xr:uid="{00000000-0005-0000-0000-0000D71C0000}"/>
    <cellStyle name="Normal 8 2 3 5 3 2" xfId="22614" xr:uid="{7D325075-8D12-4A65-96C0-4AA94B475785}"/>
    <cellStyle name="Normal 8 2 3 5 3 3" xfId="14173" xr:uid="{0DB91350-8B1F-4041-B741-30B28482DB89}"/>
    <cellStyle name="Normal 8 2 3 5 4" xfId="18396" xr:uid="{195B18DC-7183-41E5-B07A-2693CD9592BC}"/>
    <cellStyle name="Normal 8 2 3 5 5" xfId="9922" xr:uid="{C864AECB-04D4-4093-B8D9-2D0C75144B9E}"/>
    <cellStyle name="Normal 8 2 3 6" xfId="1785" xr:uid="{00000000-0005-0000-0000-0000D81C0000}"/>
    <cellStyle name="Normal 8 2 3 6 2" xfId="4015" xr:uid="{00000000-0005-0000-0000-0000D91C0000}"/>
    <cellStyle name="Normal 8 2 3 6 2 2" xfId="8237" xr:uid="{00000000-0005-0000-0000-0000DA1C0000}"/>
    <cellStyle name="Normal 8 2 3 6 2 2 2" xfId="25172" xr:uid="{014C0208-11E7-4E78-A560-7D248F700DE7}"/>
    <cellStyle name="Normal 8 2 3 6 2 2 3" xfId="16731" xr:uid="{137BBE78-C98E-44C6-B625-E021BDBDBE22}"/>
    <cellStyle name="Normal 8 2 3 6 2 3" xfId="20954" xr:uid="{D9F7EF22-77EC-46E4-B5A9-C71A608EE708}"/>
    <cellStyle name="Normal 8 2 3 6 2 4" xfId="12512" xr:uid="{718A0396-3032-4F47-A627-966F0AF441C0}"/>
    <cellStyle name="Normal 8 2 3 6 3" xfId="6092" xr:uid="{00000000-0005-0000-0000-0000DB1C0000}"/>
    <cellStyle name="Normal 8 2 3 6 3 2" xfId="23027" xr:uid="{B5D943AE-4DBD-4667-8BC4-8B4E8E5E0D57}"/>
    <cellStyle name="Normal 8 2 3 6 3 3" xfId="14586" xr:uid="{50BFD411-AF26-4211-8DBB-3712B3A72746}"/>
    <cellStyle name="Normal 8 2 3 6 4" xfId="18809" xr:uid="{6C8C7F44-DD0B-486A-B624-BC6AE1FF2267}"/>
    <cellStyle name="Normal 8 2 3 6 5" xfId="10335" xr:uid="{3CA379AD-4EF0-4DA0-B5B8-067E7A6B3D30}"/>
    <cellStyle name="Normal 8 2 3 7" xfId="2199" xr:uid="{00000000-0005-0000-0000-0000DC1C0000}"/>
    <cellStyle name="Normal 8 2 3 7 2" xfId="4428" xr:uid="{00000000-0005-0000-0000-0000DD1C0000}"/>
    <cellStyle name="Normal 8 2 3 7 2 2" xfId="8650" xr:uid="{00000000-0005-0000-0000-0000DE1C0000}"/>
    <cellStyle name="Normal 8 2 3 7 2 2 2" xfId="25585" xr:uid="{7FA1F027-18BC-4E45-B45B-80DF8A6BBA18}"/>
    <cellStyle name="Normal 8 2 3 7 2 2 3" xfId="17144" xr:uid="{BDF35792-9354-43CF-8005-F509CFF2A2AA}"/>
    <cellStyle name="Normal 8 2 3 7 2 3" xfId="21367" xr:uid="{7CABB0B3-8DDA-4D73-87AE-F1408A1799A9}"/>
    <cellStyle name="Normal 8 2 3 7 2 4" xfId="12925" xr:uid="{32E9BD73-2459-49AC-A76D-AC4080D6D01D}"/>
    <cellStyle name="Normal 8 2 3 7 3" xfId="6505" xr:uid="{00000000-0005-0000-0000-0000DF1C0000}"/>
    <cellStyle name="Normal 8 2 3 7 3 2" xfId="23440" xr:uid="{FD462498-D2D3-45F2-8020-697D575FF6B7}"/>
    <cellStyle name="Normal 8 2 3 7 3 3" xfId="14999" xr:uid="{4F50EEBE-20F6-4EAD-8B20-337E2AC96D32}"/>
    <cellStyle name="Normal 8 2 3 7 4" xfId="19222" xr:uid="{79AF916A-3791-4266-91E5-6898C23BD198}"/>
    <cellStyle name="Normal 8 2 3 7 5" xfId="10748" xr:uid="{C82049A8-6C6C-4EF8-9F5C-FBE71EF28704}"/>
    <cellStyle name="Normal 8 2 3 8" xfId="2635" xr:uid="{00000000-0005-0000-0000-0000E01C0000}"/>
    <cellStyle name="Normal 8 2 3 8 2" xfId="6918" xr:uid="{00000000-0005-0000-0000-0000E11C0000}"/>
    <cellStyle name="Normal 8 2 3 8 2 2" xfId="23853" xr:uid="{C3F40B41-32C0-4186-8E9F-F59D3B973599}"/>
    <cellStyle name="Normal 8 2 3 8 2 3" xfId="15412" xr:uid="{59A21445-CE66-4DA9-A263-49B960992253}"/>
    <cellStyle name="Normal 8 2 3 8 3" xfId="19635" xr:uid="{EF9F7C11-70EC-43DB-B42C-B33ACB669724}"/>
    <cellStyle name="Normal 8 2 3 8 4" xfId="11183" xr:uid="{6A08C5F2-949D-4C96-951D-FB12A4565FCE}"/>
    <cellStyle name="Normal 8 2 3 9" xfId="4853" xr:uid="{00000000-0005-0000-0000-0000E21C0000}"/>
    <cellStyle name="Normal 8 2 3 9 2" xfId="21788" xr:uid="{124F05D8-6669-481E-B298-8DEDAAD414D5}"/>
    <cellStyle name="Normal 8 2 3 9 3" xfId="13347" xr:uid="{DE1C658E-CFFC-4551-B593-D05B51AD8EAE}"/>
    <cellStyle name="Normal 8 2 4" xfId="492" xr:uid="{00000000-0005-0000-0000-0000E31C0000}"/>
    <cellStyle name="Normal 8 2 4 10" xfId="9099" xr:uid="{819E3BF3-716C-41F3-87D1-4EE2A0281519}"/>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4351" xr:uid="{A82825E8-4AEB-47C8-8362-D69109029143}"/>
    <cellStyle name="Normal 8 2 4 2 2 2 2 3" xfId="15910" xr:uid="{91F4518D-F1D1-46A3-8E00-1194B68E1CDB}"/>
    <cellStyle name="Normal 8 2 4 2 2 2 3" xfId="20133" xr:uid="{69FD5750-6C57-4002-BED2-D8A26AB309BA}"/>
    <cellStyle name="Normal 8 2 4 2 2 2 4" xfId="11691" xr:uid="{78B79706-B4A3-4DAA-AD3F-8E9B9C7F310B}"/>
    <cellStyle name="Normal 8 2 4 2 2 3" xfId="5271" xr:uid="{00000000-0005-0000-0000-0000E81C0000}"/>
    <cellStyle name="Normal 8 2 4 2 2 3 2" xfId="22206" xr:uid="{49D32A17-5B09-4A1F-BC93-48CD18CF6763}"/>
    <cellStyle name="Normal 8 2 4 2 2 3 3" xfId="13765" xr:uid="{E95F0252-3F3F-449A-B1FD-C5840C43BFEE}"/>
    <cellStyle name="Normal 8 2 4 2 2 4" xfId="17988" xr:uid="{E3D77332-7A4A-4052-B9E3-3DFABE21395C}"/>
    <cellStyle name="Normal 8 2 4 2 2 5" xfId="9514" xr:uid="{CAA561A2-CB99-4EFE-B763-E36BE823C63C}"/>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4764" xr:uid="{C36F4054-D52D-4C63-A0AE-9E95FAB80C65}"/>
    <cellStyle name="Normal 8 2 4 2 3 2 2 3" xfId="16323" xr:uid="{2C6FC736-F943-4A6E-B4FC-B82041D06864}"/>
    <cellStyle name="Normal 8 2 4 2 3 2 3" xfId="20546" xr:uid="{2E784F4C-73B1-4868-8855-AF82A049D7D1}"/>
    <cellStyle name="Normal 8 2 4 2 3 2 4" xfId="12104" xr:uid="{008A9F96-18F8-4F81-AB24-D3047992CD70}"/>
    <cellStyle name="Normal 8 2 4 2 3 3" xfId="5684" xr:uid="{00000000-0005-0000-0000-0000EC1C0000}"/>
    <cellStyle name="Normal 8 2 4 2 3 3 2" xfId="22619" xr:uid="{9D78D476-3CA9-43B9-A497-5967E8A87C8C}"/>
    <cellStyle name="Normal 8 2 4 2 3 3 3" xfId="14178" xr:uid="{F18E1E90-4531-4CFF-BEA6-3F0421D41B96}"/>
    <cellStyle name="Normal 8 2 4 2 3 4" xfId="18401" xr:uid="{C2AB0718-F758-48A8-8FDB-B22ACC31F1A0}"/>
    <cellStyle name="Normal 8 2 4 2 3 5" xfId="9927" xr:uid="{F17BBF45-1588-45A2-BACF-3EE29978A43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5177" xr:uid="{61202163-8CE5-47F4-993F-7400AAE9E93D}"/>
    <cellStyle name="Normal 8 2 4 2 4 2 2 3" xfId="16736" xr:uid="{AB1DC38F-988C-4E15-8F12-B55F39BEE648}"/>
    <cellStyle name="Normal 8 2 4 2 4 2 3" xfId="20959" xr:uid="{BD94551E-A0FE-463A-9004-DBA7625B485C}"/>
    <cellStyle name="Normal 8 2 4 2 4 2 4" xfId="12517" xr:uid="{A0AA173D-6D72-4113-9CD5-BB7AE8C7EC30}"/>
    <cellStyle name="Normal 8 2 4 2 4 3" xfId="6097" xr:uid="{00000000-0005-0000-0000-0000F01C0000}"/>
    <cellStyle name="Normal 8 2 4 2 4 3 2" xfId="23032" xr:uid="{E6BEC8CF-264B-461F-BC95-4ADF070C327F}"/>
    <cellStyle name="Normal 8 2 4 2 4 3 3" xfId="14591" xr:uid="{B19525B1-BC8D-47B8-B3A4-74355BA011B2}"/>
    <cellStyle name="Normal 8 2 4 2 4 4" xfId="18814" xr:uid="{46A73BB7-9526-4BF4-89BC-0BD2D0E7D6BB}"/>
    <cellStyle name="Normal 8 2 4 2 4 5" xfId="10340" xr:uid="{EF97E5CF-B5D2-4773-83DD-7B48705F337A}"/>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5590" xr:uid="{E21369B4-6B2D-417F-9EFD-6E7121949199}"/>
    <cellStyle name="Normal 8 2 4 2 5 2 2 3" xfId="17149" xr:uid="{496DEDE4-98CC-4D32-8C29-A83336FA71CD}"/>
    <cellStyle name="Normal 8 2 4 2 5 2 3" xfId="21372" xr:uid="{28E0B40F-76A6-4AD2-82E6-9A9F1BA0EF3C}"/>
    <cellStyle name="Normal 8 2 4 2 5 2 4" xfId="12930" xr:uid="{1199A0BE-44F7-49CE-803B-D0841189066B}"/>
    <cellStyle name="Normal 8 2 4 2 5 3" xfId="6510" xr:uid="{00000000-0005-0000-0000-0000F41C0000}"/>
    <cellStyle name="Normal 8 2 4 2 5 3 2" xfId="23445" xr:uid="{E7D07203-9A5A-4512-B085-C05FE783A8D3}"/>
    <cellStyle name="Normal 8 2 4 2 5 3 3" xfId="15004" xr:uid="{6299F9C9-3383-4546-A0D8-A6361E1DC30D}"/>
    <cellStyle name="Normal 8 2 4 2 5 4" xfId="19227" xr:uid="{4589FB5F-E52C-412F-A92B-02C2C2E188E1}"/>
    <cellStyle name="Normal 8 2 4 2 5 5" xfId="10753" xr:uid="{26827331-FAEE-4947-BCD3-C90B73339BB8}"/>
    <cellStyle name="Normal 8 2 4 2 6" xfId="2640" xr:uid="{00000000-0005-0000-0000-0000F51C0000}"/>
    <cellStyle name="Normal 8 2 4 2 6 2" xfId="6923" xr:uid="{00000000-0005-0000-0000-0000F61C0000}"/>
    <cellStyle name="Normal 8 2 4 2 6 2 2" xfId="23858" xr:uid="{9A18C10D-8316-4FB1-8154-1D4846971D5E}"/>
    <cellStyle name="Normal 8 2 4 2 6 2 3" xfId="15417" xr:uid="{25DF2BAD-44FA-4008-A922-C9E720DDCF41}"/>
    <cellStyle name="Normal 8 2 4 2 6 3" xfId="19640" xr:uid="{D06B6ACD-20BF-4591-9415-08C17B0ADCA1}"/>
    <cellStyle name="Normal 8 2 4 2 6 4" xfId="11188" xr:uid="{4C5C9110-33EE-477A-AD3A-AA373CB38780}"/>
    <cellStyle name="Normal 8 2 4 2 7" xfId="4858" xr:uid="{00000000-0005-0000-0000-0000F71C0000}"/>
    <cellStyle name="Normal 8 2 4 2 7 2" xfId="21793" xr:uid="{5B7CD3B5-2517-40C2-8268-EEB298AA615B}"/>
    <cellStyle name="Normal 8 2 4 2 7 3" xfId="13352" xr:uid="{C5B040FE-2FDA-49A6-90D3-ECB97C095552}"/>
    <cellStyle name="Normal 8 2 4 2 8" xfId="17575" xr:uid="{41271ACD-6FB9-4507-A70C-DA152539C335}"/>
    <cellStyle name="Normal 8 2 4 2 9" xfId="9100" xr:uid="{ED12A7C8-35C9-4E84-9114-35B7F48608E1}"/>
    <cellStyle name="Normal 8 2 4 3" xfId="959" xr:uid="{00000000-0005-0000-0000-0000F81C0000}"/>
    <cellStyle name="Normal 8 2 4 3 2" xfId="3193" xr:uid="{00000000-0005-0000-0000-0000F91C0000}"/>
    <cellStyle name="Normal 8 2 4 3 2 2" xfId="7415" xr:uid="{00000000-0005-0000-0000-0000FA1C0000}"/>
    <cellStyle name="Normal 8 2 4 3 2 2 2" xfId="24350" xr:uid="{56726BA7-C944-4532-840A-B9FA192E73DF}"/>
    <cellStyle name="Normal 8 2 4 3 2 2 3" xfId="15909" xr:uid="{133863B4-C365-4B51-8951-5F7A0FB411D0}"/>
    <cellStyle name="Normal 8 2 4 3 2 3" xfId="20132" xr:uid="{3254649B-F137-4F9E-A8EE-9A3D8CBAE3F9}"/>
    <cellStyle name="Normal 8 2 4 3 2 4" xfId="11690" xr:uid="{89D37C7A-7466-4DD0-8943-5A26C8B5B3CD}"/>
    <cellStyle name="Normal 8 2 4 3 3" xfId="5270" xr:uid="{00000000-0005-0000-0000-0000FB1C0000}"/>
    <cellStyle name="Normal 8 2 4 3 3 2" xfId="22205" xr:uid="{50D898E2-CA16-466A-8E42-B5E7AFAD2BFB}"/>
    <cellStyle name="Normal 8 2 4 3 3 3" xfId="13764" xr:uid="{C3E7D4C0-ABA7-4FD1-845B-2639F8120B57}"/>
    <cellStyle name="Normal 8 2 4 3 4" xfId="17987" xr:uid="{D66D78DA-B9CF-4BBB-B3FE-DA0D8C89DA66}"/>
    <cellStyle name="Normal 8 2 4 3 5" xfId="9513" xr:uid="{D90CF4DF-34DB-4679-BB4C-3AC3C8D15862}"/>
    <cellStyle name="Normal 8 2 4 4" xfId="1376" xr:uid="{00000000-0005-0000-0000-0000FC1C0000}"/>
    <cellStyle name="Normal 8 2 4 4 2" xfId="3606" xr:uid="{00000000-0005-0000-0000-0000FD1C0000}"/>
    <cellStyle name="Normal 8 2 4 4 2 2" xfId="7828" xr:uid="{00000000-0005-0000-0000-0000FE1C0000}"/>
    <cellStyle name="Normal 8 2 4 4 2 2 2" xfId="24763" xr:uid="{FB79FC2B-7736-4357-9546-CE0510C9F41C}"/>
    <cellStyle name="Normal 8 2 4 4 2 2 3" xfId="16322" xr:uid="{50F43C66-8632-4B76-8957-1F9E34DE146E}"/>
    <cellStyle name="Normal 8 2 4 4 2 3" xfId="20545" xr:uid="{5B02EB7D-C81B-4E75-8DA0-E7ECCCF277C1}"/>
    <cellStyle name="Normal 8 2 4 4 2 4" xfId="12103" xr:uid="{10A6FCB6-6CCD-4D82-BBAD-B09D2A81BA2A}"/>
    <cellStyle name="Normal 8 2 4 4 3" xfId="5683" xr:uid="{00000000-0005-0000-0000-0000FF1C0000}"/>
    <cellStyle name="Normal 8 2 4 4 3 2" xfId="22618" xr:uid="{2A16EC20-7CE9-4191-ACCD-F6A20C194F12}"/>
    <cellStyle name="Normal 8 2 4 4 3 3" xfId="14177" xr:uid="{D7A14CA8-BA88-4AB9-AA43-BCA56D0F2C0D}"/>
    <cellStyle name="Normal 8 2 4 4 4" xfId="18400" xr:uid="{E37FB862-BFAA-4800-9185-06B2D7CBB799}"/>
    <cellStyle name="Normal 8 2 4 4 5" xfId="9926" xr:uid="{9779474D-0CBC-4B8B-9243-030560F05288}"/>
    <cellStyle name="Normal 8 2 4 5" xfId="1789" xr:uid="{00000000-0005-0000-0000-0000001D0000}"/>
    <cellStyle name="Normal 8 2 4 5 2" xfId="4019" xr:uid="{00000000-0005-0000-0000-0000011D0000}"/>
    <cellStyle name="Normal 8 2 4 5 2 2" xfId="8241" xr:uid="{00000000-0005-0000-0000-0000021D0000}"/>
    <cellStyle name="Normal 8 2 4 5 2 2 2" xfId="25176" xr:uid="{4C6243AF-66DB-489F-83BE-CB20EB0EE959}"/>
    <cellStyle name="Normal 8 2 4 5 2 2 3" xfId="16735" xr:uid="{3BF1A7AC-CDFB-4363-9612-FAD461BF4E4B}"/>
    <cellStyle name="Normal 8 2 4 5 2 3" xfId="20958" xr:uid="{9F547C1C-71B1-4C9E-A625-89AEB511CD54}"/>
    <cellStyle name="Normal 8 2 4 5 2 4" xfId="12516" xr:uid="{8B344C9F-B0C7-437F-8AFB-C8F3353AB3C7}"/>
    <cellStyle name="Normal 8 2 4 5 3" xfId="6096" xr:uid="{00000000-0005-0000-0000-0000031D0000}"/>
    <cellStyle name="Normal 8 2 4 5 3 2" xfId="23031" xr:uid="{1081FB1B-374A-4257-8EA9-FC6C99427EF5}"/>
    <cellStyle name="Normal 8 2 4 5 3 3" xfId="14590" xr:uid="{4AF2DEFB-C7EF-40A2-B34B-D84268EA2F90}"/>
    <cellStyle name="Normal 8 2 4 5 4" xfId="18813" xr:uid="{A051296B-B525-45BF-A315-DA4AAFEF91A1}"/>
    <cellStyle name="Normal 8 2 4 5 5" xfId="10339" xr:uid="{002494EE-DDF3-454A-BDC2-E0BD68EAE6D1}"/>
    <cellStyle name="Normal 8 2 4 6" xfId="2203" xr:uid="{00000000-0005-0000-0000-0000041D0000}"/>
    <cellStyle name="Normal 8 2 4 6 2" xfId="4432" xr:uid="{00000000-0005-0000-0000-0000051D0000}"/>
    <cellStyle name="Normal 8 2 4 6 2 2" xfId="8654" xr:uid="{00000000-0005-0000-0000-0000061D0000}"/>
    <cellStyle name="Normal 8 2 4 6 2 2 2" xfId="25589" xr:uid="{E2F25165-A119-42D4-88F0-FE41F6940B3D}"/>
    <cellStyle name="Normal 8 2 4 6 2 2 3" xfId="17148" xr:uid="{2DA8E63A-7411-4B4C-85BB-8065507E4FB2}"/>
    <cellStyle name="Normal 8 2 4 6 2 3" xfId="21371" xr:uid="{80B5F49A-2017-4545-AF22-57E78414A51B}"/>
    <cellStyle name="Normal 8 2 4 6 2 4" xfId="12929" xr:uid="{E5F4ED7E-F691-4523-9977-D48E1D76DEF5}"/>
    <cellStyle name="Normal 8 2 4 6 3" xfId="6509" xr:uid="{00000000-0005-0000-0000-0000071D0000}"/>
    <cellStyle name="Normal 8 2 4 6 3 2" xfId="23444" xr:uid="{F95C21BA-0B3F-4E2E-97C9-935778E4AA80}"/>
    <cellStyle name="Normal 8 2 4 6 3 3" xfId="15003" xr:uid="{8F4BB529-007D-452C-ADE7-FBDD5430B635}"/>
    <cellStyle name="Normal 8 2 4 6 4" xfId="19226" xr:uid="{74331E7C-F0D9-4392-ABCC-AC298C4778EE}"/>
    <cellStyle name="Normal 8 2 4 6 5" xfId="10752" xr:uid="{983D4DBA-17F2-494F-AAFE-3F0394D0B94E}"/>
    <cellStyle name="Normal 8 2 4 7" xfId="2639" xr:uid="{00000000-0005-0000-0000-0000081D0000}"/>
    <cellStyle name="Normal 8 2 4 7 2" xfId="6922" xr:uid="{00000000-0005-0000-0000-0000091D0000}"/>
    <cellStyle name="Normal 8 2 4 7 2 2" xfId="23857" xr:uid="{A7F3BBDE-00C5-41A1-A550-4EA92D12C956}"/>
    <cellStyle name="Normal 8 2 4 7 2 3" xfId="15416" xr:uid="{941F345F-012A-432E-9E2F-7F3BFDC24845}"/>
    <cellStyle name="Normal 8 2 4 7 3" xfId="19639" xr:uid="{A7C152A0-4CA2-47C4-BF8C-86B8FD465C00}"/>
    <cellStyle name="Normal 8 2 4 7 4" xfId="11187" xr:uid="{20A2B129-E0D2-47A1-8E23-E42509557C9F}"/>
    <cellStyle name="Normal 8 2 4 8" xfId="4857" xr:uid="{00000000-0005-0000-0000-00000A1D0000}"/>
    <cellStyle name="Normal 8 2 4 8 2" xfId="21792" xr:uid="{D9B47ACA-9FD3-42ED-BA5B-859306C76731}"/>
    <cellStyle name="Normal 8 2 4 8 3" xfId="13351" xr:uid="{5FE4FBA5-F70C-4F8A-A0E3-E393B9FF335F}"/>
    <cellStyle name="Normal 8 2 4 9" xfId="17574" xr:uid="{9A93A7D9-21DB-457D-89E9-7762AA4DB67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4352" xr:uid="{EB82BD8A-AA14-4D62-A375-949C180AC257}"/>
    <cellStyle name="Normal 8 2 5 2 2 2 3" xfId="15911" xr:uid="{3EE09EF2-70BE-476A-8583-97E9E05254C6}"/>
    <cellStyle name="Normal 8 2 5 2 2 3" xfId="20134" xr:uid="{D2EB8CD2-1061-4C54-A6EB-DC832DB400FA}"/>
    <cellStyle name="Normal 8 2 5 2 2 4" xfId="11692" xr:uid="{99460A3D-DFF1-42E8-9264-877D7E700F38}"/>
    <cellStyle name="Normal 8 2 5 2 3" xfId="5272" xr:uid="{00000000-0005-0000-0000-00000F1D0000}"/>
    <cellStyle name="Normal 8 2 5 2 3 2" xfId="22207" xr:uid="{4BD71876-1F4F-4684-9F9D-900BB47C22D9}"/>
    <cellStyle name="Normal 8 2 5 2 3 3" xfId="13766" xr:uid="{738F9141-0689-424F-9C7C-D8D3C3B60A78}"/>
    <cellStyle name="Normal 8 2 5 2 4" xfId="17989" xr:uid="{DEC1B73A-3091-4ED1-A375-60F0862CAEAA}"/>
    <cellStyle name="Normal 8 2 5 2 5" xfId="9515" xr:uid="{1F2EE057-6E6E-4A6A-B881-C4515847E3D2}"/>
    <cellStyle name="Normal 8 2 5 3" xfId="1378" xr:uid="{00000000-0005-0000-0000-0000101D0000}"/>
    <cellStyle name="Normal 8 2 5 3 2" xfId="3608" xr:uid="{00000000-0005-0000-0000-0000111D0000}"/>
    <cellStyle name="Normal 8 2 5 3 2 2" xfId="7830" xr:uid="{00000000-0005-0000-0000-0000121D0000}"/>
    <cellStyle name="Normal 8 2 5 3 2 2 2" xfId="24765" xr:uid="{DBFFE5D2-9DB9-4590-A2C8-F3556733ABF8}"/>
    <cellStyle name="Normal 8 2 5 3 2 2 3" xfId="16324" xr:uid="{7127A8E1-9CE3-4C18-A51B-8FA425D8E6C6}"/>
    <cellStyle name="Normal 8 2 5 3 2 3" xfId="20547" xr:uid="{C73E3C56-8DD6-4142-8687-652C531BF3D6}"/>
    <cellStyle name="Normal 8 2 5 3 2 4" xfId="12105" xr:uid="{56BD044D-31D0-4456-828B-35CCFFB56360}"/>
    <cellStyle name="Normal 8 2 5 3 3" xfId="5685" xr:uid="{00000000-0005-0000-0000-0000131D0000}"/>
    <cellStyle name="Normal 8 2 5 3 3 2" xfId="22620" xr:uid="{CC8442E7-91BB-45DC-901B-C163BAA60705}"/>
    <cellStyle name="Normal 8 2 5 3 3 3" xfId="14179" xr:uid="{0C29A7FC-48E9-4FE2-8FE3-5A8D390A1B75}"/>
    <cellStyle name="Normal 8 2 5 3 4" xfId="18402" xr:uid="{65E5DCF5-E5EB-4DD0-A348-AA5E6E65E284}"/>
    <cellStyle name="Normal 8 2 5 3 5" xfId="9928" xr:uid="{E878064C-4C60-4F9B-9534-C107A64F2495}"/>
    <cellStyle name="Normal 8 2 5 4" xfId="1791" xr:uid="{00000000-0005-0000-0000-0000141D0000}"/>
    <cellStyle name="Normal 8 2 5 4 2" xfId="4021" xr:uid="{00000000-0005-0000-0000-0000151D0000}"/>
    <cellStyle name="Normal 8 2 5 4 2 2" xfId="8243" xr:uid="{00000000-0005-0000-0000-0000161D0000}"/>
    <cellStyle name="Normal 8 2 5 4 2 2 2" xfId="25178" xr:uid="{C9B34530-BD71-4A62-83E8-C4E62F49E66A}"/>
    <cellStyle name="Normal 8 2 5 4 2 2 3" xfId="16737" xr:uid="{E2095836-249E-4EBB-9066-B73C4AC08492}"/>
    <cellStyle name="Normal 8 2 5 4 2 3" xfId="20960" xr:uid="{C9E77116-1384-4861-899F-A496CD4B4F82}"/>
    <cellStyle name="Normal 8 2 5 4 2 4" xfId="12518" xr:uid="{F7644650-F659-4E0F-87F7-58DC2A1DF9FE}"/>
    <cellStyle name="Normal 8 2 5 4 3" xfId="6098" xr:uid="{00000000-0005-0000-0000-0000171D0000}"/>
    <cellStyle name="Normal 8 2 5 4 3 2" xfId="23033" xr:uid="{DB8BCB7A-4C5D-4643-9CAC-9A87E190CA5D}"/>
    <cellStyle name="Normal 8 2 5 4 3 3" xfId="14592" xr:uid="{89D2A5BD-5EB2-4637-9611-2A17A4F3AAF5}"/>
    <cellStyle name="Normal 8 2 5 4 4" xfId="18815" xr:uid="{38C4D790-B03D-40DB-BB91-0480D5904823}"/>
    <cellStyle name="Normal 8 2 5 4 5" xfId="10341" xr:uid="{E06F7649-5BC1-46BD-9923-1FBA5807EC9E}"/>
    <cellStyle name="Normal 8 2 5 5" xfId="2205" xr:uid="{00000000-0005-0000-0000-0000181D0000}"/>
    <cellStyle name="Normal 8 2 5 5 2" xfId="4434" xr:uid="{00000000-0005-0000-0000-0000191D0000}"/>
    <cellStyle name="Normal 8 2 5 5 2 2" xfId="8656" xr:uid="{00000000-0005-0000-0000-00001A1D0000}"/>
    <cellStyle name="Normal 8 2 5 5 2 2 2" xfId="25591" xr:uid="{E25A2C13-ECC8-4D60-8C86-A441E8A2C3D4}"/>
    <cellStyle name="Normal 8 2 5 5 2 2 3" xfId="17150" xr:uid="{42CDA2A7-7427-4419-A137-AE47A4EEAFF4}"/>
    <cellStyle name="Normal 8 2 5 5 2 3" xfId="21373" xr:uid="{CC957547-D7AA-40E0-B066-6B1C1EB05BF6}"/>
    <cellStyle name="Normal 8 2 5 5 2 4" xfId="12931" xr:uid="{771CC4DF-04C1-4394-A8A2-732150BD5DDD}"/>
    <cellStyle name="Normal 8 2 5 5 3" xfId="6511" xr:uid="{00000000-0005-0000-0000-00001B1D0000}"/>
    <cellStyle name="Normal 8 2 5 5 3 2" xfId="23446" xr:uid="{B8244F04-C6DC-4856-890F-D0FD56765AEF}"/>
    <cellStyle name="Normal 8 2 5 5 3 3" xfId="15005" xr:uid="{DA52AF79-1DA0-4393-BB6E-2BB7FAA65F37}"/>
    <cellStyle name="Normal 8 2 5 5 4" xfId="19228" xr:uid="{066B4137-D5BF-499A-A13F-20EAC3B302D1}"/>
    <cellStyle name="Normal 8 2 5 5 5" xfId="10754" xr:uid="{F074BE5C-004A-4613-B907-C3465D6C800F}"/>
    <cellStyle name="Normal 8 2 5 6" xfId="2641" xr:uid="{00000000-0005-0000-0000-00001C1D0000}"/>
    <cellStyle name="Normal 8 2 5 6 2" xfId="6924" xr:uid="{00000000-0005-0000-0000-00001D1D0000}"/>
    <cellStyle name="Normal 8 2 5 6 2 2" xfId="23859" xr:uid="{1C483122-7325-4817-9B5F-1D959F6F860A}"/>
    <cellStyle name="Normal 8 2 5 6 2 3" xfId="15418" xr:uid="{1BE264A0-8425-4B0B-A4C4-DFE566B295C9}"/>
    <cellStyle name="Normal 8 2 5 6 3" xfId="19641" xr:uid="{F2B64E9B-1D8D-48A8-B5D8-F7397962A630}"/>
    <cellStyle name="Normal 8 2 5 6 4" xfId="11189" xr:uid="{566C869C-D0AC-4960-9EB9-DD0B2192CE82}"/>
    <cellStyle name="Normal 8 2 5 7" xfId="4859" xr:uid="{00000000-0005-0000-0000-00001E1D0000}"/>
    <cellStyle name="Normal 8 2 5 7 2" xfId="21794" xr:uid="{DF27ACB6-696B-4C8B-9B58-5413A792F18B}"/>
    <cellStyle name="Normal 8 2 5 7 3" xfId="13353" xr:uid="{AA8DDB63-6026-4121-A689-3D26E71893C3}"/>
    <cellStyle name="Normal 8 2 5 8" xfId="17576" xr:uid="{41AB03AE-97C4-4B3A-BBB9-3CF0BE55B8BD}"/>
    <cellStyle name="Normal 8 2 5 9" xfId="9101" xr:uid="{91389760-D924-419E-B3A3-AE6594EB9E23}"/>
    <cellStyle name="Normal 8 2 6" xfId="946" xr:uid="{00000000-0005-0000-0000-00001F1D0000}"/>
    <cellStyle name="Normal 8 2 6 2" xfId="3180" xr:uid="{00000000-0005-0000-0000-0000201D0000}"/>
    <cellStyle name="Normal 8 2 6 2 2" xfId="7402" xr:uid="{00000000-0005-0000-0000-0000211D0000}"/>
    <cellStyle name="Normal 8 2 6 2 2 2" xfId="24337" xr:uid="{2F5C1690-CF48-48C1-AF14-141150802B8B}"/>
    <cellStyle name="Normal 8 2 6 2 2 3" xfId="15896" xr:uid="{FCEDE6FC-F89D-43B1-A6E0-A74F23A60670}"/>
    <cellStyle name="Normal 8 2 6 2 3" xfId="20119" xr:uid="{E4EFE9AB-673D-45EB-BDED-4383299D1BAE}"/>
    <cellStyle name="Normal 8 2 6 2 4" xfId="11677" xr:uid="{B6D6F87B-188F-4DDB-ABA5-8484F5AB4AE5}"/>
    <cellStyle name="Normal 8 2 6 3" xfId="5257" xr:uid="{00000000-0005-0000-0000-0000221D0000}"/>
    <cellStyle name="Normal 8 2 6 3 2" xfId="22192" xr:uid="{7E3B3FA3-D132-40C9-8270-E1FB8E2E67EB}"/>
    <cellStyle name="Normal 8 2 6 3 3" xfId="13751" xr:uid="{04F87214-41DF-4905-B16C-5C8E80A81DED}"/>
    <cellStyle name="Normal 8 2 6 4" xfId="17974" xr:uid="{8441027B-DA6B-4A46-9E98-E7D0254DEAD7}"/>
    <cellStyle name="Normal 8 2 6 5" xfId="9500" xr:uid="{80385335-A1C8-4828-B6FA-96429B21141D}"/>
    <cellStyle name="Normal 8 2 7" xfId="1363" xr:uid="{00000000-0005-0000-0000-0000231D0000}"/>
    <cellStyle name="Normal 8 2 7 2" xfId="3593" xr:uid="{00000000-0005-0000-0000-0000241D0000}"/>
    <cellStyle name="Normal 8 2 7 2 2" xfId="7815" xr:uid="{00000000-0005-0000-0000-0000251D0000}"/>
    <cellStyle name="Normal 8 2 7 2 2 2" xfId="24750" xr:uid="{73153079-3941-4D85-9BD2-F1F280279BFE}"/>
    <cellStyle name="Normal 8 2 7 2 2 3" xfId="16309" xr:uid="{18BA75BF-3972-4420-984D-3682A32DA3FA}"/>
    <cellStyle name="Normal 8 2 7 2 3" xfId="20532" xr:uid="{3CB9DCD2-1F8C-4CAE-82DE-17B892559EB4}"/>
    <cellStyle name="Normal 8 2 7 2 4" xfId="12090" xr:uid="{D805AD35-BB25-4088-865C-ABCB4FCAF87D}"/>
    <cellStyle name="Normal 8 2 7 3" xfId="5670" xr:uid="{00000000-0005-0000-0000-0000261D0000}"/>
    <cellStyle name="Normal 8 2 7 3 2" xfId="22605" xr:uid="{F5C66110-5B24-4A44-9B80-9B47EE2B68DD}"/>
    <cellStyle name="Normal 8 2 7 3 3" xfId="14164" xr:uid="{73489F35-39FB-4FED-93DD-A0CC422BAF5D}"/>
    <cellStyle name="Normal 8 2 7 4" xfId="18387" xr:uid="{20B61D4A-4598-495F-A95C-B503660F2A01}"/>
    <cellStyle name="Normal 8 2 7 5" xfId="9913" xr:uid="{17D8FCEB-70D1-4F17-8FEE-935C1312CEE2}"/>
    <cellStyle name="Normal 8 2 8" xfId="1776" xr:uid="{00000000-0005-0000-0000-0000271D0000}"/>
    <cellStyle name="Normal 8 2 8 2" xfId="4006" xr:uid="{00000000-0005-0000-0000-0000281D0000}"/>
    <cellStyle name="Normal 8 2 8 2 2" xfId="8228" xr:uid="{00000000-0005-0000-0000-0000291D0000}"/>
    <cellStyle name="Normal 8 2 8 2 2 2" xfId="25163" xr:uid="{471BD6EB-7456-4EE1-945E-DD97E8372034}"/>
    <cellStyle name="Normal 8 2 8 2 2 3" xfId="16722" xr:uid="{320ECE9B-EF77-4CD7-96F0-200DE8289F74}"/>
    <cellStyle name="Normal 8 2 8 2 3" xfId="20945" xr:uid="{BDBF5526-7583-453E-8D85-C656708C6938}"/>
    <cellStyle name="Normal 8 2 8 2 4" xfId="12503" xr:uid="{8304E47E-9C74-4FEA-BBB0-9BD74FADD126}"/>
    <cellStyle name="Normal 8 2 8 3" xfId="6083" xr:uid="{00000000-0005-0000-0000-00002A1D0000}"/>
    <cellStyle name="Normal 8 2 8 3 2" xfId="23018" xr:uid="{A7312B25-7700-4071-9AFF-BA52350DD22D}"/>
    <cellStyle name="Normal 8 2 8 3 3" xfId="14577" xr:uid="{C3465922-AD83-4E91-9350-6D63174792A4}"/>
    <cellStyle name="Normal 8 2 8 4" xfId="18800" xr:uid="{7206DAA5-5B89-40ED-854D-37B8A811D03F}"/>
    <cellStyle name="Normal 8 2 8 5" xfId="10326" xr:uid="{A225E007-B06F-421D-87F0-3B430688C5B0}"/>
    <cellStyle name="Normal 8 2 9" xfId="2190" xr:uid="{00000000-0005-0000-0000-00002B1D0000}"/>
    <cellStyle name="Normal 8 2 9 2" xfId="4419" xr:uid="{00000000-0005-0000-0000-00002C1D0000}"/>
    <cellStyle name="Normal 8 2 9 2 2" xfId="8641" xr:uid="{00000000-0005-0000-0000-00002D1D0000}"/>
    <cellStyle name="Normal 8 2 9 2 2 2" xfId="25576" xr:uid="{460A97FA-68C5-4D0D-8CC6-472C0DAEE982}"/>
    <cellStyle name="Normal 8 2 9 2 2 3" xfId="17135" xr:uid="{2E69943C-5A38-4878-92A8-C81A4D94A36F}"/>
    <cellStyle name="Normal 8 2 9 2 3" xfId="21358" xr:uid="{7D1271C0-EB66-4B83-8150-5070DC700E26}"/>
    <cellStyle name="Normal 8 2 9 2 4" xfId="12916" xr:uid="{1ACF0418-68DA-4638-9B20-1274229E504E}"/>
    <cellStyle name="Normal 8 2 9 3" xfId="6496" xr:uid="{00000000-0005-0000-0000-00002E1D0000}"/>
    <cellStyle name="Normal 8 2 9 3 2" xfId="23431" xr:uid="{FDFFB08C-BFF2-4483-B371-4220BEB59C93}"/>
    <cellStyle name="Normal 8 2 9 3 3" xfId="14990" xr:uid="{6DD08879-F5D6-450B-AAE8-2A5664F5298F}"/>
    <cellStyle name="Normal 8 2 9 4" xfId="19213" xr:uid="{2FCBF3C1-E583-4616-9E82-EBC247745EB6}"/>
    <cellStyle name="Normal 8 2 9 5" xfId="10739" xr:uid="{FEE91ECC-5AEB-403E-9284-049BB8D599F7}"/>
    <cellStyle name="Normal 8 3" xfId="495" xr:uid="{00000000-0005-0000-0000-00002F1D0000}"/>
    <cellStyle name="Normal 8 3 10" xfId="4860" xr:uid="{00000000-0005-0000-0000-0000301D0000}"/>
    <cellStyle name="Normal 8 3 10 2" xfId="21795" xr:uid="{EA6EA409-43BB-45B8-A2BF-69BA7F985ABB}"/>
    <cellStyle name="Normal 8 3 10 3" xfId="13354" xr:uid="{4CB9D633-6260-49D0-8DCF-A37C27F185DD}"/>
    <cellStyle name="Normal 8 3 11" xfId="17577" xr:uid="{E36F165D-B3AF-491F-9F99-C9AEA3973879}"/>
    <cellStyle name="Normal 8 3 12" xfId="9102" xr:uid="{0BBDE6CA-481C-4514-914A-AD8ABAF75C9D}"/>
    <cellStyle name="Normal 8 3 2" xfId="496" xr:uid="{00000000-0005-0000-0000-0000311D0000}"/>
    <cellStyle name="Normal 8 3 2 10" xfId="17578" xr:uid="{AF94D165-0483-4E26-A936-40C3E5EE40E8}"/>
    <cellStyle name="Normal 8 3 2 11" xfId="9103" xr:uid="{6C99057B-6C87-482F-A2A1-53A3362525E6}"/>
    <cellStyle name="Normal 8 3 2 2" xfId="497" xr:uid="{00000000-0005-0000-0000-0000321D0000}"/>
    <cellStyle name="Normal 8 3 2 2 10" xfId="9104" xr:uid="{C444A4A2-4141-42DA-9DC5-EA2EFFAD0683}"/>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4356" xr:uid="{DB17A9B9-AFD6-4AAC-AC18-F2DA2D0A6F11}"/>
    <cellStyle name="Normal 8 3 2 2 2 2 2 2 3" xfId="15915" xr:uid="{098C44B8-5F4A-4EA6-98B9-11BBA69931B7}"/>
    <cellStyle name="Normal 8 3 2 2 2 2 2 3" xfId="20138" xr:uid="{06279220-5EDC-4711-A98A-82C40340448E}"/>
    <cellStyle name="Normal 8 3 2 2 2 2 2 4" xfId="11696" xr:uid="{69873DD9-A4EE-4F21-803A-6C2EFE174FEB}"/>
    <cellStyle name="Normal 8 3 2 2 2 2 3" xfId="5276" xr:uid="{00000000-0005-0000-0000-0000371D0000}"/>
    <cellStyle name="Normal 8 3 2 2 2 2 3 2" xfId="22211" xr:uid="{14D55293-04CA-4991-ADDC-BED462C6C3FD}"/>
    <cellStyle name="Normal 8 3 2 2 2 2 3 3" xfId="13770" xr:uid="{801662B7-18D8-4400-94D0-05872D6365C6}"/>
    <cellStyle name="Normal 8 3 2 2 2 2 4" xfId="17993" xr:uid="{8A6716D9-C66F-4133-A178-D4C998182F3B}"/>
    <cellStyle name="Normal 8 3 2 2 2 2 5" xfId="9519" xr:uid="{6B52DD0E-2901-41EF-AE96-FF22FC1B778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4769" xr:uid="{D5257C07-5DCD-4EE8-A515-19631AD51302}"/>
    <cellStyle name="Normal 8 3 2 2 2 3 2 2 3" xfId="16328" xr:uid="{07B3CD92-FCB3-4825-A2EC-E7BE576D925E}"/>
    <cellStyle name="Normal 8 3 2 2 2 3 2 3" xfId="20551" xr:uid="{F4A255C1-BDB6-41F9-9879-2FE4EC27642F}"/>
    <cellStyle name="Normal 8 3 2 2 2 3 2 4" xfId="12109" xr:uid="{0A32995B-4DA6-48F7-A3BA-B0F5962E9025}"/>
    <cellStyle name="Normal 8 3 2 2 2 3 3" xfId="5689" xr:uid="{00000000-0005-0000-0000-00003B1D0000}"/>
    <cellStyle name="Normal 8 3 2 2 2 3 3 2" xfId="22624" xr:uid="{56CBC93B-6AFB-4D1D-BEF4-D41FC73F2A7F}"/>
    <cellStyle name="Normal 8 3 2 2 2 3 3 3" xfId="14183" xr:uid="{5CD3F15A-A8E1-4A78-A52A-737E16F9D3C8}"/>
    <cellStyle name="Normal 8 3 2 2 2 3 4" xfId="18406" xr:uid="{756997FB-B76E-4CE4-B5DE-C3E0D0D6015B}"/>
    <cellStyle name="Normal 8 3 2 2 2 3 5" xfId="9932" xr:uid="{48D96EB5-B891-41D0-AF38-A456C1D68F98}"/>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5182" xr:uid="{0F427F1D-E7D8-421D-BE6A-69E6ACC25AB2}"/>
    <cellStyle name="Normal 8 3 2 2 2 4 2 2 3" xfId="16741" xr:uid="{C47994E9-EBE5-4702-8338-856D0A97F548}"/>
    <cellStyle name="Normal 8 3 2 2 2 4 2 3" xfId="20964" xr:uid="{2F54F4EE-4C05-4BA0-BAB2-6A9BC0B4454B}"/>
    <cellStyle name="Normal 8 3 2 2 2 4 2 4" xfId="12522" xr:uid="{FA23E42E-8FA0-49A1-B974-2883589C6EDD}"/>
    <cellStyle name="Normal 8 3 2 2 2 4 3" xfId="6102" xr:uid="{00000000-0005-0000-0000-00003F1D0000}"/>
    <cellStyle name="Normal 8 3 2 2 2 4 3 2" xfId="23037" xr:uid="{F462AF68-F5ED-48F5-92E3-75EB2D6D32E6}"/>
    <cellStyle name="Normal 8 3 2 2 2 4 3 3" xfId="14596" xr:uid="{544199F8-5C50-4E9A-977F-D66BD9FF2AEE}"/>
    <cellStyle name="Normal 8 3 2 2 2 4 4" xfId="18819" xr:uid="{622342C7-4CEC-4B7D-B572-AECDC45FAE9F}"/>
    <cellStyle name="Normal 8 3 2 2 2 4 5" xfId="10345" xr:uid="{F322D5F2-D5C0-41C7-8666-770C99A4731C}"/>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5595" xr:uid="{9D48DAE7-8014-4527-BD28-E096EDBA1ED3}"/>
    <cellStyle name="Normal 8 3 2 2 2 5 2 2 3" xfId="17154" xr:uid="{6580EE87-48F4-4268-A4FB-844165E2BF45}"/>
    <cellStyle name="Normal 8 3 2 2 2 5 2 3" xfId="21377" xr:uid="{924C2BFD-4BE2-4DA7-8FF6-D3EC22897CB6}"/>
    <cellStyle name="Normal 8 3 2 2 2 5 2 4" xfId="12935" xr:uid="{37050282-E58B-4262-B276-1680AF74E6BD}"/>
    <cellStyle name="Normal 8 3 2 2 2 5 3" xfId="6515" xr:uid="{00000000-0005-0000-0000-0000431D0000}"/>
    <cellStyle name="Normal 8 3 2 2 2 5 3 2" xfId="23450" xr:uid="{B7A788AE-9CF4-43BC-8087-26FF886DD5D4}"/>
    <cellStyle name="Normal 8 3 2 2 2 5 3 3" xfId="15009" xr:uid="{9B143DC1-499D-4498-89A4-332E858E83F8}"/>
    <cellStyle name="Normal 8 3 2 2 2 5 4" xfId="19232" xr:uid="{C76C3946-54D3-4CA8-8CFA-ECF1F16DE53B}"/>
    <cellStyle name="Normal 8 3 2 2 2 5 5" xfId="10758" xr:uid="{58D101C9-F3D7-43F8-9554-AA259CFF60E2}"/>
    <cellStyle name="Normal 8 3 2 2 2 6" xfId="2645" xr:uid="{00000000-0005-0000-0000-0000441D0000}"/>
    <cellStyle name="Normal 8 3 2 2 2 6 2" xfId="6928" xr:uid="{00000000-0005-0000-0000-0000451D0000}"/>
    <cellStyle name="Normal 8 3 2 2 2 6 2 2" xfId="23863" xr:uid="{C6505E08-C116-4B1F-861F-670144302965}"/>
    <cellStyle name="Normal 8 3 2 2 2 6 2 3" xfId="15422" xr:uid="{96A4F761-11D6-4136-B423-3F285BEAE38C}"/>
    <cellStyle name="Normal 8 3 2 2 2 6 3" xfId="19645" xr:uid="{47D0763B-BADE-4B4C-ADD3-CD1343592156}"/>
    <cellStyle name="Normal 8 3 2 2 2 6 4" xfId="11193" xr:uid="{7D772FCE-A20B-4148-83C9-662F1E04E379}"/>
    <cellStyle name="Normal 8 3 2 2 2 7" xfId="4863" xr:uid="{00000000-0005-0000-0000-0000461D0000}"/>
    <cellStyle name="Normal 8 3 2 2 2 7 2" xfId="21798" xr:uid="{FA11CFD7-19A1-437C-9BC8-CB2CC76CD4B3}"/>
    <cellStyle name="Normal 8 3 2 2 2 7 3" xfId="13357" xr:uid="{1705EEB1-477F-48F0-8EF1-B0FF3AF7B7C2}"/>
    <cellStyle name="Normal 8 3 2 2 2 8" xfId="17580" xr:uid="{5F49042F-51BD-4DB9-A1DF-EAD8DEE90F8F}"/>
    <cellStyle name="Normal 8 3 2 2 2 9" xfId="9105" xr:uid="{3D3917CA-FB84-48A7-85E9-52E0BB91FCB5}"/>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4355" xr:uid="{5E251B7C-88E2-4B18-A974-798A36F31F37}"/>
    <cellStyle name="Normal 8 3 2 2 3 2 2 3" xfId="15914" xr:uid="{BB6F1CB4-041D-455A-B573-919F026D449C}"/>
    <cellStyle name="Normal 8 3 2 2 3 2 3" xfId="20137" xr:uid="{E6177599-38C1-4B49-B8B0-00AE3505D190}"/>
    <cellStyle name="Normal 8 3 2 2 3 2 4" xfId="11695" xr:uid="{7665F1C5-9BBA-409C-BD94-3759327DE5FC}"/>
    <cellStyle name="Normal 8 3 2 2 3 3" xfId="5275" xr:uid="{00000000-0005-0000-0000-00004A1D0000}"/>
    <cellStyle name="Normal 8 3 2 2 3 3 2" xfId="22210" xr:uid="{FE80FB42-EB09-4652-BA8D-9CF6945AE670}"/>
    <cellStyle name="Normal 8 3 2 2 3 3 3" xfId="13769" xr:uid="{F9925215-4C88-46D9-8AE4-E0EA96AA8F4F}"/>
    <cellStyle name="Normal 8 3 2 2 3 4" xfId="17992" xr:uid="{6609DE56-E677-4D1D-A900-34311B0E2191}"/>
    <cellStyle name="Normal 8 3 2 2 3 5" xfId="9518" xr:uid="{88C88E7C-F84B-4F86-B5D6-CA805F18E192}"/>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4768" xr:uid="{3C0B5F70-9E9D-4B77-999A-4558BA15DF19}"/>
    <cellStyle name="Normal 8 3 2 2 4 2 2 3" xfId="16327" xr:uid="{F0F634FA-6847-427B-B7F0-A90E5B3AE950}"/>
    <cellStyle name="Normal 8 3 2 2 4 2 3" xfId="20550" xr:uid="{CAC80075-EBC3-4E47-82FE-4B9B6FE5F95A}"/>
    <cellStyle name="Normal 8 3 2 2 4 2 4" xfId="12108" xr:uid="{1A459423-B5A9-4483-9202-5B48A8B4AE02}"/>
    <cellStyle name="Normal 8 3 2 2 4 3" xfId="5688" xr:uid="{00000000-0005-0000-0000-00004E1D0000}"/>
    <cellStyle name="Normal 8 3 2 2 4 3 2" xfId="22623" xr:uid="{A79D201C-767A-47EC-8CA0-7649B51A34CC}"/>
    <cellStyle name="Normal 8 3 2 2 4 3 3" xfId="14182" xr:uid="{1A0FB9D3-ECC0-47D7-993B-11EB3D7CD7D2}"/>
    <cellStyle name="Normal 8 3 2 2 4 4" xfId="18405" xr:uid="{727D2FF1-B0A8-49FC-8B08-33C1ED21865F}"/>
    <cellStyle name="Normal 8 3 2 2 4 5" xfId="9931" xr:uid="{1585B5A0-346B-40B7-B9FB-0B81310F9E92}"/>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5181" xr:uid="{5A80EF74-B4AD-4A27-B1DD-CD3C2C957619}"/>
    <cellStyle name="Normal 8 3 2 2 5 2 2 3" xfId="16740" xr:uid="{032BDFD1-2641-4323-9B2B-B37DB7038E1C}"/>
    <cellStyle name="Normal 8 3 2 2 5 2 3" xfId="20963" xr:uid="{10D4E0B5-C6C1-436C-A850-3C390A551AAB}"/>
    <cellStyle name="Normal 8 3 2 2 5 2 4" xfId="12521" xr:uid="{BD819D70-A6FC-4BDE-A0CB-D59C084162BD}"/>
    <cellStyle name="Normal 8 3 2 2 5 3" xfId="6101" xr:uid="{00000000-0005-0000-0000-0000521D0000}"/>
    <cellStyle name="Normal 8 3 2 2 5 3 2" xfId="23036" xr:uid="{03C46267-1C48-4F53-AABC-C8567B11059D}"/>
    <cellStyle name="Normal 8 3 2 2 5 3 3" xfId="14595" xr:uid="{9DE1E29D-4B37-466D-8BC2-DD0BA9B1928B}"/>
    <cellStyle name="Normal 8 3 2 2 5 4" xfId="18818" xr:uid="{6D17051C-C242-4527-86A4-232F155AB7EF}"/>
    <cellStyle name="Normal 8 3 2 2 5 5" xfId="10344" xr:uid="{FAE5492E-9E78-40E7-989F-6AD27C182550}"/>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5594" xr:uid="{1001A5DB-CA3C-4468-9008-526E3E75E91C}"/>
    <cellStyle name="Normal 8 3 2 2 6 2 2 3" xfId="17153" xr:uid="{03A3CC0F-B930-498F-A17E-C3133E362DBF}"/>
    <cellStyle name="Normal 8 3 2 2 6 2 3" xfId="21376" xr:uid="{8F918270-EE0E-4A17-BC8D-1B8114715EBD}"/>
    <cellStyle name="Normal 8 3 2 2 6 2 4" xfId="12934" xr:uid="{19E9054E-9FC0-4899-88F5-B59E4A1D6790}"/>
    <cellStyle name="Normal 8 3 2 2 6 3" xfId="6514" xr:uid="{00000000-0005-0000-0000-0000561D0000}"/>
    <cellStyle name="Normal 8 3 2 2 6 3 2" xfId="23449" xr:uid="{4F407E1C-EE84-47E6-9CFA-978644C9AB0E}"/>
    <cellStyle name="Normal 8 3 2 2 6 3 3" xfId="15008" xr:uid="{9C452572-281E-47CA-B92B-E91AA47BE6AC}"/>
    <cellStyle name="Normal 8 3 2 2 6 4" xfId="19231" xr:uid="{E07367F0-9BF1-42BF-8FE2-3E41B6E615A7}"/>
    <cellStyle name="Normal 8 3 2 2 6 5" xfId="10757" xr:uid="{D547231F-BA04-4BFA-9E94-3CC858838C3E}"/>
    <cellStyle name="Normal 8 3 2 2 7" xfId="2644" xr:uid="{00000000-0005-0000-0000-0000571D0000}"/>
    <cellStyle name="Normal 8 3 2 2 7 2" xfId="6927" xr:uid="{00000000-0005-0000-0000-0000581D0000}"/>
    <cellStyle name="Normal 8 3 2 2 7 2 2" xfId="23862" xr:uid="{32D6EB1A-145F-4F2A-AEE5-6ECD369A174D}"/>
    <cellStyle name="Normal 8 3 2 2 7 2 3" xfId="15421" xr:uid="{4E0A878C-DBF3-4C08-B814-E1C45C9C29C9}"/>
    <cellStyle name="Normal 8 3 2 2 7 3" xfId="19644" xr:uid="{5CF4386C-FDC9-4648-9569-D2D95A66C59D}"/>
    <cellStyle name="Normal 8 3 2 2 7 4" xfId="11192" xr:uid="{424DBD59-9111-420B-93B3-F463F835CBC3}"/>
    <cellStyle name="Normal 8 3 2 2 8" xfId="4862" xr:uid="{00000000-0005-0000-0000-0000591D0000}"/>
    <cellStyle name="Normal 8 3 2 2 8 2" xfId="21797" xr:uid="{0316A34B-6152-4789-87C7-3E20BC2FF35F}"/>
    <cellStyle name="Normal 8 3 2 2 8 3" xfId="13356" xr:uid="{CF8FB815-0E91-4707-A6D3-77A3D7A9158E}"/>
    <cellStyle name="Normal 8 3 2 2 9" xfId="17579" xr:uid="{4C29F576-05E9-447C-BFB0-13EC7D79B2F2}"/>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4357" xr:uid="{81D9AE91-3558-4696-85FB-0492953E45C7}"/>
    <cellStyle name="Normal 8 3 2 3 2 2 2 3" xfId="15916" xr:uid="{C31665F4-BBFD-4BCA-9830-298DE95B9778}"/>
    <cellStyle name="Normal 8 3 2 3 2 2 3" xfId="20139" xr:uid="{8FA1F711-49D9-4215-868E-BDDDF29DA818}"/>
    <cellStyle name="Normal 8 3 2 3 2 2 4" xfId="11697" xr:uid="{BDC9E952-5739-418E-B504-451B8542FB8B}"/>
    <cellStyle name="Normal 8 3 2 3 2 3" xfId="5277" xr:uid="{00000000-0005-0000-0000-00005E1D0000}"/>
    <cellStyle name="Normal 8 3 2 3 2 3 2" xfId="22212" xr:uid="{CB11CB73-03BD-43B5-83B8-904016195A87}"/>
    <cellStyle name="Normal 8 3 2 3 2 3 3" xfId="13771" xr:uid="{3831FA26-FE5E-4CA2-AC5A-482A6E909033}"/>
    <cellStyle name="Normal 8 3 2 3 2 4" xfId="17994" xr:uid="{430BD4B6-3CFE-4FD9-A785-E928B0442336}"/>
    <cellStyle name="Normal 8 3 2 3 2 5" xfId="9520" xr:uid="{C58604E9-E8E0-441A-879A-C65CD166563E}"/>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4770" xr:uid="{4D4AD020-914D-4B5F-8F45-002701208514}"/>
    <cellStyle name="Normal 8 3 2 3 3 2 2 3" xfId="16329" xr:uid="{9810B298-9B1C-4E39-92E7-370014049A43}"/>
    <cellStyle name="Normal 8 3 2 3 3 2 3" xfId="20552" xr:uid="{95E74D7E-FF79-4970-A1ED-5489506B05CA}"/>
    <cellStyle name="Normal 8 3 2 3 3 2 4" xfId="12110" xr:uid="{8826A4A6-C966-4598-A0C4-4EBCD04E4D08}"/>
    <cellStyle name="Normal 8 3 2 3 3 3" xfId="5690" xr:uid="{00000000-0005-0000-0000-0000621D0000}"/>
    <cellStyle name="Normal 8 3 2 3 3 3 2" xfId="22625" xr:uid="{B3131949-1C62-4293-929A-EF2D70BF7C5B}"/>
    <cellStyle name="Normal 8 3 2 3 3 3 3" xfId="14184" xr:uid="{C9463979-0EAE-4E53-AFFC-D60086FF99CC}"/>
    <cellStyle name="Normal 8 3 2 3 3 4" xfId="18407" xr:uid="{DA42F258-4775-45A8-AC11-8ED3620FB726}"/>
    <cellStyle name="Normal 8 3 2 3 3 5" xfId="9933" xr:uid="{EDCA1BF2-10F3-48F1-AAAE-BBB07CFB5076}"/>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5183" xr:uid="{B01E9A73-018C-4F9E-A5F4-85A243F1B936}"/>
    <cellStyle name="Normal 8 3 2 3 4 2 2 3" xfId="16742" xr:uid="{9A2A692A-4F27-44E3-B1B3-F0E57DD2A96B}"/>
    <cellStyle name="Normal 8 3 2 3 4 2 3" xfId="20965" xr:uid="{4F6BA7BD-A069-40B1-BC58-CF274DF4177F}"/>
    <cellStyle name="Normal 8 3 2 3 4 2 4" xfId="12523" xr:uid="{48B650B3-EF02-438C-A2FC-175A8D143156}"/>
    <cellStyle name="Normal 8 3 2 3 4 3" xfId="6103" xr:uid="{00000000-0005-0000-0000-0000661D0000}"/>
    <cellStyle name="Normal 8 3 2 3 4 3 2" xfId="23038" xr:uid="{67BF7084-D4AF-46B8-9449-08D682445012}"/>
    <cellStyle name="Normal 8 3 2 3 4 3 3" xfId="14597" xr:uid="{FEC476C2-14F5-4345-A64A-AFFE8154399D}"/>
    <cellStyle name="Normal 8 3 2 3 4 4" xfId="18820" xr:uid="{30F55394-C7E3-4845-8642-69F414A1C124}"/>
    <cellStyle name="Normal 8 3 2 3 4 5" xfId="10346" xr:uid="{6CBDC800-F042-424E-8364-DAA0371F2F4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5596" xr:uid="{2E5B5CB2-B002-4EEE-A439-30ECD10E9338}"/>
    <cellStyle name="Normal 8 3 2 3 5 2 2 3" xfId="17155" xr:uid="{7499B155-18CA-499F-89C4-A9A0E7DF1B8B}"/>
    <cellStyle name="Normal 8 3 2 3 5 2 3" xfId="21378" xr:uid="{92D262BA-8F0A-487B-88B0-4949245C7F83}"/>
    <cellStyle name="Normal 8 3 2 3 5 2 4" xfId="12936" xr:uid="{EB59DE2C-507B-4ED5-8141-934528463575}"/>
    <cellStyle name="Normal 8 3 2 3 5 3" xfId="6516" xr:uid="{00000000-0005-0000-0000-00006A1D0000}"/>
    <cellStyle name="Normal 8 3 2 3 5 3 2" xfId="23451" xr:uid="{A7DEA0CF-F7E2-4F85-8F4C-7486DA84CF80}"/>
    <cellStyle name="Normal 8 3 2 3 5 3 3" xfId="15010" xr:uid="{45D8DD9B-CB95-474D-8D97-F74765321FB7}"/>
    <cellStyle name="Normal 8 3 2 3 5 4" xfId="19233" xr:uid="{E1286DAA-A7A0-42AE-ADA2-E3775E9CF911}"/>
    <cellStyle name="Normal 8 3 2 3 5 5" xfId="10759" xr:uid="{006653AC-9819-41C7-89B2-2C53BCFFB7F8}"/>
    <cellStyle name="Normal 8 3 2 3 6" xfId="2646" xr:uid="{00000000-0005-0000-0000-00006B1D0000}"/>
    <cellStyle name="Normal 8 3 2 3 6 2" xfId="6929" xr:uid="{00000000-0005-0000-0000-00006C1D0000}"/>
    <cellStyle name="Normal 8 3 2 3 6 2 2" xfId="23864" xr:uid="{E267F7DE-CE4D-45D0-B3F4-B357362908D4}"/>
    <cellStyle name="Normal 8 3 2 3 6 2 3" xfId="15423" xr:uid="{2E0CAB1D-4572-45ED-84E2-3DF0D3CA9CE5}"/>
    <cellStyle name="Normal 8 3 2 3 6 3" xfId="19646" xr:uid="{4778A9CD-4BE0-4214-87AE-48452A49353A}"/>
    <cellStyle name="Normal 8 3 2 3 6 4" xfId="11194" xr:uid="{D1A248B7-52F8-4E0B-8AD8-1F27213BD37E}"/>
    <cellStyle name="Normal 8 3 2 3 7" xfId="4864" xr:uid="{00000000-0005-0000-0000-00006D1D0000}"/>
    <cellStyle name="Normal 8 3 2 3 7 2" xfId="21799" xr:uid="{5A08D5CA-547B-4DE2-947C-C5408C98C483}"/>
    <cellStyle name="Normal 8 3 2 3 7 3" xfId="13358" xr:uid="{33771FF7-F999-4044-B635-40B804D7F9DD}"/>
    <cellStyle name="Normal 8 3 2 3 8" xfId="17581" xr:uid="{C2F56958-0F67-49B8-BD04-09FC7C26B8F3}"/>
    <cellStyle name="Normal 8 3 2 3 9" xfId="9106" xr:uid="{B8F082E3-7991-472B-A50D-5272D0762603}"/>
    <cellStyle name="Normal 8 3 2 4" xfId="963" xr:uid="{00000000-0005-0000-0000-00006E1D0000}"/>
    <cellStyle name="Normal 8 3 2 4 2" xfId="3197" xr:uid="{00000000-0005-0000-0000-00006F1D0000}"/>
    <cellStyle name="Normal 8 3 2 4 2 2" xfId="7419" xr:uid="{00000000-0005-0000-0000-0000701D0000}"/>
    <cellStyle name="Normal 8 3 2 4 2 2 2" xfId="24354" xr:uid="{4CBD2859-8D39-4884-B2A8-88C5589583B1}"/>
    <cellStyle name="Normal 8 3 2 4 2 2 3" xfId="15913" xr:uid="{C0D6F18C-B2A6-4C76-86DC-79C2E90EA366}"/>
    <cellStyle name="Normal 8 3 2 4 2 3" xfId="20136" xr:uid="{720FD689-E2A2-40A2-9C59-423955F99D3A}"/>
    <cellStyle name="Normal 8 3 2 4 2 4" xfId="11694" xr:uid="{0D171B87-502A-4E34-8B18-522010849EBB}"/>
    <cellStyle name="Normal 8 3 2 4 3" xfId="5274" xr:uid="{00000000-0005-0000-0000-0000711D0000}"/>
    <cellStyle name="Normal 8 3 2 4 3 2" xfId="22209" xr:uid="{131ABEC1-220B-4447-8C0B-058569FA3D8E}"/>
    <cellStyle name="Normal 8 3 2 4 3 3" xfId="13768" xr:uid="{D9C77A19-4F2A-4E51-9E1E-39EA2AAEA106}"/>
    <cellStyle name="Normal 8 3 2 4 4" xfId="17991" xr:uid="{76CCCF00-576B-44D8-8EE6-684D6690E899}"/>
    <cellStyle name="Normal 8 3 2 4 5" xfId="9517" xr:uid="{93C4211B-BC8F-4F0D-BBF7-176127C93FA7}"/>
    <cellStyle name="Normal 8 3 2 5" xfId="1380" xr:uid="{00000000-0005-0000-0000-0000721D0000}"/>
    <cellStyle name="Normal 8 3 2 5 2" xfId="3610" xr:uid="{00000000-0005-0000-0000-0000731D0000}"/>
    <cellStyle name="Normal 8 3 2 5 2 2" xfId="7832" xr:uid="{00000000-0005-0000-0000-0000741D0000}"/>
    <cellStyle name="Normal 8 3 2 5 2 2 2" xfId="24767" xr:uid="{93BD6A59-B047-4B78-845F-828D065624C3}"/>
    <cellStyle name="Normal 8 3 2 5 2 2 3" xfId="16326" xr:uid="{E8D4A2D3-1B4E-477A-9463-99E0545D9E77}"/>
    <cellStyle name="Normal 8 3 2 5 2 3" xfId="20549" xr:uid="{C4F8EDA4-353B-44E0-98DA-8596942332C2}"/>
    <cellStyle name="Normal 8 3 2 5 2 4" xfId="12107" xr:uid="{EE43762E-43CD-48AC-9E42-36FE361F3327}"/>
    <cellStyle name="Normal 8 3 2 5 3" xfId="5687" xr:uid="{00000000-0005-0000-0000-0000751D0000}"/>
    <cellStyle name="Normal 8 3 2 5 3 2" xfId="22622" xr:uid="{96DE6561-9DC0-4C03-86A0-B7BF52C3CA85}"/>
    <cellStyle name="Normal 8 3 2 5 3 3" xfId="14181" xr:uid="{6A54B172-4074-4CDF-924C-3785355CDD70}"/>
    <cellStyle name="Normal 8 3 2 5 4" xfId="18404" xr:uid="{45A4B475-0E37-4B67-AA28-669F16E9105D}"/>
    <cellStyle name="Normal 8 3 2 5 5" xfId="9930" xr:uid="{26436C4D-2449-4587-8ACC-5FB1C3BA9C36}"/>
    <cellStyle name="Normal 8 3 2 6" xfId="1793" xr:uid="{00000000-0005-0000-0000-0000761D0000}"/>
    <cellStyle name="Normal 8 3 2 6 2" xfId="4023" xr:uid="{00000000-0005-0000-0000-0000771D0000}"/>
    <cellStyle name="Normal 8 3 2 6 2 2" xfId="8245" xr:uid="{00000000-0005-0000-0000-0000781D0000}"/>
    <cellStyle name="Normal 8 3 2 6 2 2 2" xfId="25180" xr:uid="{657F529D-1D7E-4167-A459-1F156A8B1260}"/>
    <cellStyle name="Normal 8 3 2 6 2 2 3" xfId="16739" xr:uid="{6BC737DD-098E-4340-AE51-B205A50E9D9A}"/>
    <cellStyle name="Normal 8 3 2 6 2 3" xfId="20962" xr:uid="{FE50DD71-A097-4E62-B122-CF35A546E53D}"/>
    <cellStyle name="Normal 8 3 2 6 2 4" xfId="12520" xr:uid="{F8F2D40A-6A8B-4FBF-AFBA-3DB706F3B51F}"/>
    <cellStyle name="Normal 8 3 2 6 3" xfId="6100" xr:uid="{00000000-0005-0000-0000-0000791D0000}"/>
    <cellStyle name="Normal 8 3 2 6 3 2" xfId="23035" xr:uid="{C4FA9C66-D9A0-4B0E-8232-F37F36EF1A63}"/>
    <cellStyle name="Normal 8 3 2 6 3 3" xfId="14594" xr:uid="{C529957F-89F3-4689-A151-94D2B97D6289}"/>
    <cellStyle name="Normal 8 3 2 6 4" xfId="18817" xr:uid="{887797F8-10B0-42FE-9CD8-78AEA82D2D74}"/>
    <cellStyle name="Normal 8 3 2 6 5" xfId="10343" xr:uid="{1D4EB8C2-2EBD-4498-BCE1-B26DC629EFA5}"/>
    <cellStyle name="Normal 8 3 2 7" xfId="2207" xr:uid="{00000000-0005-0000-0000-00007A1D0000}"/>
    <cellStyle name="Normal 8 3 2 7 2" xfId="4436" xr:uid="{00000000-0005-0000-0000-00007B1D0000}"/>
    <cellStyle name="Normal 8 3 2 7 2 2" xfId="8658" xr:uid="{00000000-0005-0000-0000-00007C1D0000}"/>
    <cellStyle name="Normal 8 3 2 7 2 2 2" xfId="25593" xr:uid="{A9B5D671-358E-4673-9CA9-DA7793DE9CE4}"/>
    <cellStyle name="Normal 8 3 2 7 2 2 3" xfId="17152" xr:uid="{634EFD11-12ED-4D68-9C7E-D1AA4DB8FB43}"/>
    <cellStyle name="Normal 8 3 2 7 2 3" xfId="21375" xr:uid="{1ED9CA71-7BD2-48CB-97EF-A8DB6AFD56EE}"/>
    <cellStyle name="Normal 8 3 2 7 2 4" xfId="12933" xr:uid="{7F9AB315-66F5-4654-AA97-3E7D5AD68493}"/>
    <cellStyle name="Normal 8 3 2 7 3" xfId="6513" xr:uid="{00000000-0005-0000-0000-00007D1D0000}"/>
    <cellStyle name="Normal 8 3 2 7 3 2" xfId="23448" xr:uid="{968FCA6B-F587-4907-A73F-4A658D6612A5}"/>
    <cellStyle name="Normal 8 3 2 7 3 3" xfId="15007" xr:uid="{29F8E695-E002-4D6F-943F-9A6910B14AF6}"/>
    <cellStyle name="Normal 8 3 2 7 4" xfId="19230" xr:uid="{8FED2083-3E77-4EDE-836D-B6D5D3EA4D11}"/>
    <cellStyle name="Normal 8 3 2 7 5" xfId="10756" xr:uid="{88647E3C-1350-4E6B-AE35-AC7211389BB9}"/>
    <cellStyle name="Normal 8 3 2 8" xfId="2643" xr:uid="{00000000-0005-0000-0000-00007E1D0000}"/>
    <cellStyle name="Normal 8 3 2 8 2" xfId="6926" xr:uid="{00000000-0005-0000-0000-00007F1D0000}"/>
    <cellStyle name="Normal 8 3 2 8 2 2" xfId="23861" xr:uid="{95A09E2D-0350-49DA-A040-450996FE81B5}"/>
    <cellStyle name="Normal 8 3 2 8 2 3" xfId="15420" xr:uid="{54673B32-E904-459E-B85B-48CFCD9F3A21}"/>
    <cellStyle name="Normal 8 3 2 8 3" xfId="19643" xr:uid="{C4872487-9FA4-4821-BE82-A2CA2A976426}"/>
    <cellStyle name="Normal 8 3 2 8 4" xfId="11191" xr:uid="{FEF988FA-4CC4-4504-AF63-A3A7EC7BB8A0}"/>
    <cellStyle name="Normal 8 3 2 9" xfId="4861" xr:uid="{00000000-0005-0000-0000-0000801D0000}"/>
    <cellStyle name="Normal 8 3 2 9 2" xfId="21796" xr:uid="{F4B1366E-AA9A-400D-9911-FE6A7BD64876}"/>
    <cellStyle name="Normal 8 3 2 9 3" xfId="13355" xr:uid="{D1E41AF0-FF66-4BB3-8447-BDDCFF7BFF10}"/>
    <cellStyle name="Normal 8 3 3" xfId="500" xr:uid="{00000000-0005-0000-0000-0000811D0000}"/>
    <cellStyle name="Normal 8 3 3 10" xfId="9107" xr:uid="{C8EC8749-C457-4A8D-8396-9A9F37C6E513}"/>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4359" xr:uid="{997BA593-13AE-4B88-869C-E423583966F8}"/>
    <cellStyle name="Normal 8 3 3 2 2 2 2 3" xfId="15918" xr:uid="{5A1FCAEE-4C73-44B9-9DB5-70F22D7579AA}"/>
    <cellStyle name="Normal 8 3 3 2 2 2 3" xfId="20141" xr:uid="{701F98CE-5471-44BF-9A6F-1D9111241DF2}"/>
    <cellStyle name="Normal 8 3 3 2 2 2 4" xfId="11699" xr:uid="{91A4B67E-D07E-4245-A7B1-B087AA1ED10D}"/>
    <cellStyle name="Normal 8 3 3 2 2 3" xfId="5279" xr:uid="{00000000-0005-0000-0000-0000861D0000}"/>
    <cellStyle name="Normal 8 3 3 2 2 3 2" xfId="22214" xr:uid="{5FA14F93-2612-40CA-A7BF-33EBF23617DA}"/>
    <cellStyle name="Normal 8 3 3 2 2 3 3" xfId="13773" xr:uid="{77D08DBC-C4C8-45FD-8677-97DEDCCC4E2E}"/>
    <cellStyle name="Normal 8 3 3 2 2 4" xfId="17996" xr:uid="{2C0D6A82-5DF8-4F2E-A811-A95BAF64FEB5}"/>
    <cellStyle name="Normal 8 3 3 2 2 5" xfId="9522" xr:uid="{2EC7E21E-25F5-4DB7-96AE-E84362609C8D}"/>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4772" xr:uid="{0369C900-8B9B-4989-BD13-B0C057A7922D}"/>
    <cellStyle name="Normal 8 3 3 2 3 2 2 3" xfId="16331" xr:uid="{671BB9B2-3743-4BCD-BD8E-7A91A781488A}"/>
    <cellStyle name="Normal 8 3 3 2 3 2 3" xfId="20554" xr:uid="{FDFEF8DB-2828-4213-86BB-08F54F9EAED4}"/>
    <cellStyle name="Normal 8 3 3 2 3 2 4" xfId="12112" xr:uid="{796CD8D0-9CAD-4013-A36F-AF2ED9441280}"/>
    <cellStyle name="Normal 8 3 3 2 3 3" xfId="5692" xr:uid="{00000000-0005-0000-0000-00008A1D0000}"/>
    <cellStyle name="Normal 8 3 3 2 3 3 2" xfId="22627" xr:uid="{5EFF04AC-34FB-4471-A9B9-0A2D8D12A4C2}"/>
    <cellStyle name="Normal 8 3 3 2 3 3 3" xfId="14186" xr:uid="{43FCBA2C-AD98-45D9-8A12-44B3210E04AD}"/>
    <cellStyle name="Normal 8 3 3 2 3 4" xfId="18409" xr:uid="{CE525B22-3833-44C0-A1A1-BB5933E06C9B}"/>
    <cellStyle name="Normal 8 3 3 2 3 5" xfId="9935" xr:uid="{19797FE4-074B-4367-9B68-126514FDD7A2}"/>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5185" xr:uid="{5F797F17-96FB-4E07-B192-9A18F520BC3D}"/>
    <cellStyle name="Normal 8 3 3 2 4 2 2 3" xfId="16744" xr:uid="{1B697EF7-9FB9-49F5-86FA-DA75D8D57B05}"/>
    <cellStyle name="Normal 8 3 3 2 4 2 3" xfId="20967" xr:uid="{AD8F0A1F-3F6D-4B18-ADA5-C56026B78A55}"/>
    <cellStyle name="Normal 8 3 3 2 4 2 4" xfId="12525" xr:uid="{E60E8D8A-3663-4923-AF26-AEAA993AA01C}"/>
    <cellStyle name="Normal 8 3 3 2 4 3" xfId="6105" xr:uid="{00000000-0005-0000-0000-00008E1D0000}"/>
    <cellStyle name="Normal 8 3 3 2 4 3 2" xfId="23040" xr:uid="{569D6685-6DDD-4BD9-813A-8F9236AC6F45}"/>
    <cellStyle name="Normal 8 3 3 2 4 3 3" xfId="14599" xr:uid="{598CC843-2238-428D-A6D8-F2CCE069A0ED}"/>
    <cellStyle name="Normal 8 3 3 2 4 4" xfId="18822" xr:uid="{CB31D103-78F0-441C-BB3A-CA9B3AB23B93}"/>
    <cellStyle name="Normal 8 3 3 2 4 5" xfId="10348" xr:uid="{D929731F-8802-4737-91F9-84E34A45523B}"/>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5598" xr:uid="{1D619A48-594F-4A4B-A7EC-8BE7073D3605}"/>
    <cellStyle name="Normal 8 3 3 2 5 2 2 3" xfId="17157" xr:uid="{197845F8-2FBB-46FF-807C-61916971868B}"/>
    <cellStyle name="Normal 8 3 3 2 5 2 3" xfId="21380" xr:uid="{5C3E6DAD-4005-4270-9BA8-AF5C03D23167}"/>
    <cellStyle name="Normal 8 3 3 2 5 2 4" xfId="12938" xr:uid="{4AC6C331-EE1D-42B6-84EE-6FC85D91830E}"/>
    <cellStyle name="Normal 8 3 3 2 5 3" xfId="6518" xr:uid="{00000000-0005-0000-0000-0000921D0000}"/>
    <cellStyle name="Normal 8 3 3 2 5 3 2" xfId="23453" xr:uid="{35B228BF-6E62-4855-B3CF-587F0D7C0415}"/>
    <cellStyle name="Normal 8 3 3 2 5 3 3" xfId="15012" xr:uid="{EB9C0B9F-18B3-4D4A-BA5B-3EF12C995768}"/>
    <cellStyle name="Normal 8 3 3 2 5 4" xfId="19235" xr:uid="{28E955F9-53C1-4D90-ABE7-4B23345E3BA9}"/>
    <cellStyle name="Normal 8 3 3 2 5 5" xfId="10761" xr:uid="{EEDD91B0-3A09-4AA5-A4B2-1A2203CE4358}"/>
    <cellStyle name="Normal 8 3 3 2 6" xfId="2648" xr:uid="{00000000-0005-0000-0000-0000931D0000}"/>
    <cellStyle name="Normal 8 3 3 2 6 2" xfId="6931" xr:uid="{00000000-0005-0000-0000-0000941D0000}"/>
    <cellStyle name="Normal 8 3 3 2 6 2 2" xfId="23866" xr:uid="{91E291E5-EC30-4EB9-B241-1DAC251F618D}"/>
    <cellStyle name="Normal 8 3 3 2 6 2 3" xfId="15425" xr:uid="{E041E1B8-CF4E-4DF6-9051-A402D67FF92E}"/>
    <cellStyle name="Normal 8 3 3 2 6 3" xfId="19648" xr:uid="{C83247DF-D2B3-409F-BD94-1E162DFF3BD7}"/>
    <cellStyle name="Normal 8 3 3 2 6 4" xfId="11196" xr:uid="{A06C3B70-C414-4BE7-8C41-CAD02494EAFE}"/>
    <cellStyle name="Normal 8 3 3 2 7" xfId="4866" xr:uid="{00000000-0005-0000-0000-0000951D0000}"/>
    <cellStyle name="Normal 8 3 3 2 7 2" xfId="21801" xr:uid="{EEEBDD0B-9871-4AD0-94BF-7EE5B8342A51}"/>
    <cellStyle name="Normal 8 3 3 2 7 3" xfId="13360" xr:uid="{EBFDD2FF-CC8C-4B40-9BC1-39B593DFA7ED}"/>
    <cellStyle name="Normal 8 3 3 2 8" xfId="17583" xr:uid="{A92776FA-D7E5-4368-AB1C-1BA00F5D8767}"/>
    <cellStyle name="Normal 8 3 3 2 9" xfId="9108" xr:uid="{8CCF4452-9BAD-49DD-B07E-F0151750CA51}"/>
    <cellStyle name="Normal 8 3 3 3" xfId="967" xr:uid="{00000000-0005-0000-0000-0000961D0000}"/>
    <cellStyle name="Normal 8 3 3 3 2" xfId="3201" xr:uid="{00000000-0005-0000-0000-0000971D0000}"/>
    <cellStyle name="Normal 8 3 3 3 2 2" xfId="7423" xr:uid="{00000000-0005-0000-0000-0000981D0000}"/>
    <cellStyle name="Normal 8 3 3 3 2 2 2" xfId="24358" xr:uid="{A91C8571-9F8F-486E-8F35-BBC7819E4DFB}"/>
    <cellStyle name="Normal 8 3 3 3 2 2 3" xfId="15917" xr:uid="{69EB575C-B9C4-44CF-9470-0A2403DB0601}"/>
    <cellStyle name="Normal 8 3 3 3 2 3" xfId="20140" xr:uid="{D7F54F6D-700A-4C3E-8933-D4DBB1352AFF}"/>
    <cellStyle name="Normal 8 3 3 3 2 4" xfId="11698" xr:uid="{D66B6F3E-1261-452A-B71D-AFB7498936FB}"/>
    <cellStyle name="Normal 8 3 3 3 3" xfId="5278" xr:uid="{00000000-0005-0000-0000-0000991D0000}"/>
    <cellStyle name="Normal 8 3 3 3 3 2" xfId="22213" xr:uid="{E61CE876-6664-496E-A2B7-CB983457FB49}"/>
    <cellStyle name="Normal 8 3 3 3 3 3" xfId="13772" xr:uid="{5A6F6AF8-FF9E-4CF8-9941-1E844F10E33B}"/>
    <cellStyle name="Normal 8 3 3 3 4" xfId="17995" xr:uid="{1E94FB61-4EFE-45F7-B144-245F32867B69}"/>
    <cellStyle name="Normal 8 3 3 3 5" xfId="9521" xr:uid="{2E2DA793-F7FA-46AE-BEE9-041BF41BBABB}"/>
    <cellStyle name="Normal 8 3 3 4" xfId="1384" xr:uid="{00000000-0005-0000-0000-00009A1D0000}"/>
    <cellStyle name="Normal 8 3 3 4 2" xfId="3614" xr:uid="{00000000-0005-0000-0000-00009B1D0000}"/>
    <cellStyle name="Normal 8 3 3 4 2 2" xfId="7836" xr:uid="{00000000-0005-0000-0000-00009C1D0000}"/>
    <cellStyle name="Normal 8 3 3 4 2 2 2" xfId="24771" xr:uid="{A7AA5A67-B6D8-4435-8CA5-61AD1DE1EE0A}"/>
    <cellStyle name="Normal 8 3 3 4 2 2 3" xfId="16330" xr:uid="{EB5484D6-AC1E-4A35-944D-9B4B1E3D4019}"/>
    <cellStyle name="Normal 8 3 3 4 2 3" xfId="20553" xr:uid="{1648A547-974C-4CBC-A849-E70F0D32530D}"/>
    <cellStyle name="Normal 8 3 3 4 2 4" xfId="12111" xr:uid="{B86B45C1-B7FB-4218-904E-155466442D6E}"/>
    <cellStyle name="Normal 8 3 3 4 3" xfId="5691" xr:uid="{00000000-0005-0000-0000-00009D1D0000}"/>
    <cellStyle name="Normal 8 3 3 4 3 2" xfId="22626" xr:uid="{B2A2DA1B-4EF0-4B10-96F1-C70F9E4CE60E}"/>
    <cellStyle name="Normal 8 3 3 4 3 3" xfId="14185" xr:uid="{D9679927-E01B-4CBB-B676-31083F820641}"/>
    <cellStyle name="Normal 8 3 3 4 4" xfId="18408" xr:uid="{A9DF335C-BD80-48ED-84A6-AB671CCE7134}"/>
    <cellStyle name="Normal 8 3 3 4 5" xfId="9934" xr:uid="{71307B19-650A-4343-AE15-30712B83CA51}"/>
    <cellStyle name="Normal 8 3 3 5" xfId="1797" xr:uid="{00000000-0005-0000-0000-00009E1D0000}"/>
    <cellStyle name="Normal 8 3 3 5 2" xfId="4027" xr:uid="{00000000-0005-0000-0000-00009F1D0000}"/>
    <cellStyle name="Normal 8 3 3 5 2 2" xfId="8249" xr:uid="{00000000-0005-0000-0000-0000A01D0000}"/>
    <cellStyle name="Normal 8 3 3 5 2 2 2" xfId="25184" xr:uid="{71112773-130A-4E47-9E42-8EE07BF2BBD7}"/>
    <cellStyle name="Normal 8 3 3 5 2 2 3" xfId="16743" xr:uid="{CD491485-A4B5-4202-AF8D-7593CD96F9B8}"/>
    <cellStyle name="Normal 8 3 3 5 2 3" xfId="20966" xr:uid="{637176EE-2AAB-4A95-BBAE-88C8D13FC21A}"/>
    <cellStyle name="Normal 8 3 3 5 2 4" xfId="12524" xr:uid="{C5F8C758-9027-4D45-8D1B-E6406310CEDF}"/>
    <cellStyle name="Normal 8 3 3 5 3" xfId="6104" xr:uid="{00000000-0005-0000-0000-0000A11D0000}"/>
    <cellStyle name="Normal 8 3 3 5 3 2" xfId="23039" xr:uid="{377DFD04-6D6C-42C1-80F1-59C834BCB227}"/>
    <cellStyle name="Normal 8 3 3 5 3 3" xfId="14598" xr:uid="{1F58335A-5D56-4640-A905-F9844B1C2659}"/>
    <cellStyle name="Normal 8 3 3 5 4" xfId="18821" xr:uid="{645A6C0F-8DEC-4921-AB0D-682C08563F47}"/>
    <cellStyle name="Normal 8 3 3 5 5" xfId="10347" xr:uid="{5745F98B-16F5-40DC-BBCA-FD46280102A4}"/>
    <cellStyle name="Normal 8 3 3 6" xfId="2211" xr:uid="{00000000-0005-0000-0000-0000A21D0000}"/>
    <cellStyle name="Normal 8 3 3 6 2" xfId="4440" xr:uid="{00000000-0005-0000-0000-0000A31D0000}"/>
    <cellStyle name="Normal 8 3 3 6 2 2" xfId="8662" xr:uid="{00000000-0005-0000-0000-0000A41D0000}"/>
    <cellStyle name="Normal 8 3 3 6 2 2 2" xfId="25597" xr:uid="{3F01D6B1-0813-4910-A459-1769D249CAD6}"/>
    <cellStyle name="Normal 8 3 3 6 2 2 3" xfId="17156" xr:uid="{307555FE-EC76-40CA-8128-C3FC53547D7F}"/>
    <cellStyle name="Normal 8 3 3 6 2 3" xfId="21379" xr:uid="{5ABA8E2D-B67D-43FA-B092-5310EB35C222}"/>
    <cellStyle name="Normal 8 3 3 6 2 4" xfId="12937" xr:uid="{36C13458-68E0-44FC-8B61-2738A62D70C8}"/>
    <cellStyle name="Normal 8 3 3 6 3" xfId="6517" xr:uid="{00000000-0005-0000-0000-0000A51D0000}"/>
    <cellStyle name="Normal 8 3 3 6 3 2" xfId="23452" xr:uid="{F52F4D39-387A-4278-98B1-04C3935A9A86}"/>
    <cellStyle name="Normal 8 3 3 6 3 3" xfId="15011" xr:uid="{F02EA648-D231-4AA7-BB4B-0D39ABD70A67}"/>
    <cellStyle name="Normal 8 3 3 6 4" xfId="19234" xr:uid="{E7FE296A-DE1B-44B2-B5CB-521D201FC1FC}"/>
    <cellStyle name="Normal 8 3 3 6 5" xfId="10760" xr:uid="{570717BA-9AF6-4E28-8C2C-F93DB2510DF1}"/>
    <cellStyle name="Normal 8 3 3 7" xfId="2647" xr:uid="{00000000-0005-0000-0000-0000A61D0000}"/>
    <cellStyle name="Normal 8 3 3 7 2" xfId="6930" xr:uid="{00000000-0005-0000-0000-0000A71D0000}"/>
    <cellStyle name="Normal 8 3 3 7 2 2" xfId="23865" xr:uid="{24935961-8C79-41ED-B005-CF8B06E3FB35}"/>
    <cellStyle name="Normal 8 3 3 7 2 3" xfId="15424" xr:uid="{34485891-6B7E-4234-9A3F-D6070716D04B}"/>
    <cellStyle name="Normal 8 3 3 7 3" xfId="19647" xr:uid="{801BB980-91D7-4CDF-9926-50796160C121}"/>
    <cellStyle name="Normal 8 3 3 7 4" xfId="11195" xr:uid="{A6801196-E38B-4938-972E-895F3D47BB36}"/>
    <cellStyle name="Normal 8 3 3 8" xfId="4865" xr:uid="{00000000-0005-0000-0000-0000A81D0000}"/>
    <cellStyle name="Normal 8 3 3 8 2" xfId="21800" xr:uid="{2FC23224-4AF8-479B-968A-05CE01889174}"/>
    <cellStyle name="Normal 8 3 3 8 3" xfId="13359" xr:uid="{01A57D85-CABD-4FA0-93F3-F3E39B69E5EE}"/>
    <cellStyle name="Normal 8 3 3 9" xfId="17582" xr:uid="{0DEDBFE4-54C2-43C6-9465-231F23BEC292}"/>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4360" xr:uid="{968D5364-AF73-4A58-B9EE-84D5D09FD818}"/>
    <cellStyle name="Normal 8 3 4 2 2 2 3" xfId="15919" xr:uid="{A96C8518-A4A7-4BC6-9799-099AB115C74C}"/>
    <cellStyle name="Normal 8 3 4 2 2 3" xfId="20142" xr:uid="{087D9049-1F1E-4D08-9A84-1951F43ACDCA}"/>
    <cellStyle name="Normal 8 3 4 2 2 4" xfId="11700" xr:uid="{0A93BFA4-91D9-403B-A028-64A87409084D}"/>
    <cellStyle name="Normal 8 3 4 2 3" xfId="5280" xr:uid="{00000000-0005-0000-0000-0000AD1D0000}"/>
    <cellStyle name="Normal 8 3 4 2 3 2" xfId="22215" xr:uid="{B03A63F0-993A-4F62-A5AE-BF49DA56E3E9}"/>
    <cellStyle name="Normal 8 3 4 2 3 3" xfId="13774" xr:uid="{879466C3-9DEB-4674-95C0-B5F0F072F227}"/>
    <cellStyle name="Normal 8 3 4 2 4" xfId="17997" xr:uid="{4F491CAF-B0AA-45C0-9D79-F87C15A05C3A}"/>
    <cellStyle name="Normal 8 3 4 2 5" xfId="9523" xr:uid="{4AE21D9F-7952-4201-B11D-6EBF2F3515B9}"/>
    <cellStyle name="Normal 8 3 4 3" xfId="1386" xr:uid="{00000000-0005-0000-0000-0000AE1D0000}"/>
    <cellStyle name="Normal 8 3 4 3 2" xfId="3616" xr:uid="{00000000-0005-0000-0000-0000AF1D0000}"/>
    <cellStyle name="Normal 8 3 4 3 2 2" xfId="7838" xr:uid="{00000000-0005-0000-0000-0000B01D0000}"/>
    <cellStyle name="Normal 8 3 4 3 2 2 2" xfId="24773" xr:uid="{8857A606-FBB2-451C-9FF7-67A34FDB9314}"/>
    <cellStyle name="Normal 8 3 4 3 2 2 3" xfId="16332" xr:uid="{031FEC04-C12A-4AB2-A5DA-D84163F7889B}"/>
    <cellStyle name="Normal 8 3 4 3 2 3" xfId="20555" xr:uid="{272BBFD3-D947-42D9-B537-367A1AC35801}"/>
    <cellStyle name="Normal 8 3 4 3 2 4" xfId="12113" xr:uid="{F18A1F39-79CB-44EF-8944-B0AD7930A27B}"/>
    <cellStyle name="Normal 8 3 4 3 3" xfId="5693" xr:uid="{00000000-0005-0000-0000-0000B11D0000}"/>
    <cellStyle name="Normal 8 3 4 3 3 2" xfId="22628" xr:uid="{214E8C59-F327-49E6-9D26-27DFB2CFFC13}"/>
    <cellStyle name="Normal 8 3 4 3 3 3" xfId="14187" xr:uid="{2A8C296C-2282-44A0-A7B5-CAF7716F15A2}"/>
    <cellStyle name="Normal 8 3 4 3 4" xfId="18410" xr:uid="{D8C6B942-66B6-48C1-BE95-7EFC5727CF76}"/>
    <cellStyle name="Normal 8 3 4 3 5" xfId="9936" xr:uid="{12DA4436-9E97-421A-BFF5-1D20E73D994A}"/>
    <cellStyle name="Normal 8 3 4 4" xfId="1799" xr:uid="{00000000-0005-0000-0000-0000B21D0000}"/>
    <cellStyle name="Normal 8 3 4 4 2" xfId="4029" xr:uid="{00000000-0005-0000-0000-0000B31D0000}"/>
    <cellStyle name="Normal 8 3 4 4 2 2" xfId="8251" xr:uid="{00000000-0005-0000-0000-0000B41D0000}"/>
    <cellStyle name="Normal 8 3 4 4 2 2 2" xfId="25186" xr:uid="{9296D12C-E4F9-4FB4-B166-47B9F1B51501}"/>
    <cellStyle name="Normal 8 3 4 4 2 2 3" xfId="16745" xr:uid="{1E04BC8E-B30A-49BE-B420-E64D24CD3B45}"/>
    <cellStyle name="Normal 8 3 4 4 2 3" xfId="20968" xr:uid="{3D05BD12-BFC8-4EBE-B2C7-50A343F49B78}"/>
    <cellStyle name="Normal 8 3 4 4 2 4" xfId="12526" xr:uid="{6224ABFA-BF58-46EB-B308-6BDB2853854E}"/>
    <cellStyle name="Normal 8 3 4 4 3" xfId="6106" xr:uid="{00000000-0005-0000-0000-0000B51D0000}"/>
    <cellStyle name="Normal 8 3 4 4 3 2" xfId="23041" xr:uid="{B2CDCE05-4207-4709-B12C-2C5B2961547B}"/>
    <cellStyle name="Normal 8 3 4 4 3 3" xfId="14600" xr:uid="{8048CA2F-3195-482A-8736-5934EBE7AF8F}"/>
    <cellStyle name="Normal 8 3 4 4 4" xfId="18823" xr:uid="{C33A1B77-66CD-4CBB-8EF7-9B678E483462}"/>
    <cellStyle name="Normal 8 3 4 4 5" xfId="10349" xr:uid="{91C28867-6C83-4B1A-8107-ACA362BF8019}"/>
    <cellStyle name="Normal 8 3 4 5" xfId="2213" xr:uid="{00000000-0005-0000-0000-0000B61D0000}"/>
    <cellStyle name="Normal 8 3 4 5 2" xfId="4442" xr:uid="{00000000-0005-0000-0000-0000B71D0000}"/>
    <cellStyle name="Normal 8 3 4 5 2 2" xfId="8664" xr:uid="{00000000-0005-0000-0000-0000B81D0000}"/>
    <cellStyle name="Normal 8 3 4 5 2 2 2" xfId="25599" xr:uid="{4A77BF90-2B96-4511-872D-21A8D19B200E}"/>
    <cellStyle name="Normal 8 3 4 5 2 2 3" xfId="17158" xr:uid="{2CC973DB-5DA1-4F9C-B0AB-2B99E79923B5}"/>
    <cellStyle name="Normal 8 3 4 5 2 3" xfId="21381" xr:uid="{5F3B7E96-70B6-4662-8AC3-380FF79798EE}"/>
    <cellStyle name="Normal 8 3 4 5 2 4" xfId="12939" xr:uid="{13117CF6-49D2-4E6A-904C-B05BCD155E9E}"/>
    <cellStyle name="Normal 8 3 4 5 3" xfId="6519" xr:uid="{00000000-0005-0000-0000-0000B91D0000}"/>
    <cellStyle name="Normal 8 3 4 5 3 2" xfId="23454" xr:uid="{654C25B7-EB1B-4197-B138-EFAB941FFB3F}"/>
    <cellStyle name="Normal 8 3 4 5 3 3" xfId="15013" xr:uid="{6E49B28D-FCB3-486E-8B7D-3D4E16DD32CB}"/>
    <cellStyle name="Normal 8 3 4 5 4" xfId="19236" xr:uid="{2C7D220E-DAF1-4B11-A127-16DD6C04E31B}"/>
    <cellStyle name="Normal 8 3 4 5 5" xfId="10762" xr:uid="{43D8F7AA-262B-4DF7-B26D-CF8161D77B76}"/>
    <cellStyle name="Normal 8 3 4 6" xfId="2649" xr:uid="{00000000-0005-0000-0000-0000BA1D0000}"/>
    <cellStyle name="Normal 8 3 4 6 2" xfId="6932" xr:uid="{00000000-0005-0000-0000-0000BB1D0000}"/>
    <cellStyle name="Normal 8 3 4 6 2 2" xfId="23867" xr:uid="{74049D7F-1D8E-45DA-A9A5-C5FCAC47E3B1}"/>
    <cellStyle name="Normal 8 3 4 6 2 3" xfId="15426" xr:uid="{E3B00230-EA92-44BD-B577-FE49FA8D1BF9}"/>
    <cellStyle name="Normal 8 3 4 6 3" xfId="19649" xr:uid="{F5555B74-91B6-43F5-9596-477ABA3F31FE}"/>
    <cellStyle name="Normal 8 3 4 6 4" xfId="11197" xr:uid="{B0831FAD-0A17-4DB0-9F13-B68B1492B8C1}"/>
    <cellStyle name="Normal 8 3 4 7" xfId="4867" xr:uid="{00000000-0005-0000-0000-0000BC1D0000}"/>
    <cellStyle name="Normal 8 3 4 7 2" xfId="21802" xr:uid="{2E818D5E-C3E0-480D-9D8F-1DC2F8CADF70}"/>
    <cellStyle name="Normal 8 3 4 7 3" xfId="13361" xr:uid="{4F64B5A3-46C2-4EB0-91A9-A503D748424E}"/>
    <cellStyle name="Normal 8 3 4 8" xfId="17584" xr:uid="{80BB85A8-E19F-4ADA-971F-40F0336871AF}"/>
    <cellStyle name="Normal 8 3 4 9" xfId="9109" xr:uid="{89D0810D-DEDB-4738-8A5A-938EAD56533E}"/>
    <cellStyle name="Normal 8 3 5" xfId="962" xr:uid="{00000000-0005-0000-0000-0000BD1D0000}"/>
    <cellStyle name="Normal 8 3 5 2" xfId="3196" xr:uid="{00000000-0005-0000-0000-0000BE1D0000}"/>
    <cellStyle name="Normal 8 3 5 2 2" xfId="7418" xr:uid="{00000000-0005-0000-0000-0000BF1D0000}"/>
    <cellStyle name="Normal 8 3 5 2 2 2" xfId="24353" xr:uid="{FC23B36B-0D58-49DB-916D-85356AEBA149}"/>
    <cellStyle name="Normal 8 3 5 2 2 3" xfId="15912" xr:uid="{B515D7C2-A192-4FDB-B568-A0BF43C9D31B}"/>
    <cellStyle name="Normal 8 3 5 2 3" xfId="20135" xr:uid="{77DBE164-E7C4-4339-ABA1-4D97F32DDC8E}"/>
    <cellStyle name="Normal 8 3 5 2 4" xfId="11693" xr:uid="{A5459124-953A-4C0D-8861-FBC3BEC68FE9}"/>
    <cellStyle name="Normal 8 3 5 3" xfId="5273" xr:uid="{00000000-0005-0000-0000-0000C01D0000}"/>
    <cellStyle name="Normal 8 3 5 3 2" xfId="22208" xr:uid="{74C689F4-56DB-4862-A89E-8D1FAAFE7B4C}"/>
    <cellStyle name="Normal 8 3 5 3 3" xfId="13767" xr:uid="{92A5AE19-81AF-4E1B-A909-14394796B5C5}"/>
    <cellStyle name="Normal 8 3 5 4" xfId="17990" xr:uid="{5B0EC7C7-7F51-47E5-BE1B-C4DD53C79299}"/>
    <cellStyle name="Normal 8 3 5 5" xfId="9516" xr:uid="{C410C8D5-52E2-4CCB-9B54-64865FB0CA36}"/>
    <cellStyle name="Normal 8 3 6" xfId="1379" xr:uid="{00000000-0005-0000-0000-0000C11D0000}"/>
    <cellStyle name="Normal 8 3 6 2" xfId="3609" xr:uid="{00000000-0005-0000-0000-0000C21D0000}"/>
    <cellStyle name="Normal 8 3 6 2 2" xfId="7831" xr:uid="{00000000-0005-0000-0000-0000C31D0000}"/>
    <cellStyle name="Normal 8 3 6 2 2 2" xfId="24766" xr:uid="{5CEA9B05-E128-4914-BF6B-F01FE5B61C7B}"/>
    <cellStyle name="Normal 8 3 6 2 2 3" xfId="16325" xr:uid="{5B830674-B216-40EB-A454-FAC9A5A542B5}"/>
    <cellStyle name="Normal 8 3 6 2 3" xfId="20548" xr:uid="{FD5825C2-56BD-4794-8DF7-EE2A94C6D57A}"/>
    <cellStyle name="Normal 8 3 6 2 4" xfId="12106" xr:uid="{41D1FE64-1135-493F-BDB2-844BB2985AEF}"/>
    <cellStyle name="Normal 8 3 6 3" xfId="5686" xr:uid="{00000000-0005-0000-0000-0000C41D0000}"/>
    <cellStyle name="Normal 8 3 6 3 2" xfId="22621" xr:uid="{F4E85C41-32E5-473A-A9A9-E771E6665AA8}"/>
    <cellStyle name="Normal 8 3 6 3 3" xfId="14180" xr:uid="{1CC11838-7EF5-4C43-88EA-231A585B3FC2}"/>
    <cellStyle name="Normal 8 3 6 4" xfId="18403" xr:uid="{B2BCA9E2-72F6-4DCD-9DCA-0C3B82B9C5FB}"/>
    <cellStyle name="Normal 8 3 6 5" xfId="9929" xr:uid="{1324C9FD-5C0A-400B-B8F0-126A07997EE5}"/>
    <cellStyle name="Normal 8 3 7" xfId="1792" xr:uid="{00000000-0005-0000-0000-0000C51D0000}"/>
    <cellStyle name="Normal 8 3 7 2" xfId="4022" xr:uid="{00000000-0005-0000-0000-0000C61D0000}"/>
    <cellStyle name="Normal 8 3 7 2 2" xfId="8244" xr:uid="{00000000-0005-0000-0000-0000C71D0000}"/>
    <cellStyle name="Normal 8 3 7 2 2 2" xfId="25179" xr:uid="{8E2660E1-035D-4CEB-99B0-FA195CB97006}"/>
    <cellStyle name="Normal 8 3 7 2 2 3" xfId="16738" xr:uid="{308A4313-552D-4C4A-BAD0-482077B3056E}"/>
    <cellStyle name="Normal 8 3 7 2 3" xfId="20961" xr:uid="{E62DC2D1-515E-4ACC-A5A1-5E588D0C17F5}"/>
    <cellStyle name="Normal 8 3 7 2 4" xfId="12519" xr:uid="{525C0531-C163-4E93-8A42-A96D66D1A6C9}"/>
    <cellStyle name="Normal 8 3 7 3" xfId="6099" xr:uid="{00000000-0005-0000-0000-0000C81D0000}"/>
    <cellStyle name="Normal 8 3 7 3 2" xfId="23034" xr:uid="{A2D14656-86AC-43A0-981E-CA084FC03B89}"/>
    <cellStyle name="Normal 8 3 7 3 3" xfId="14593" xr:uid="{D8A8939C-362E-40F5-9ED4-9F453F7E904D}"/>
    <cellStyle name="Normal 8 3 7 4" xfId="18816" xr:uid="{CDB7223F-1615-4DA0-BA26-9C6DBF270F3E}"/>
    <cellStyle name="Normal 8 3 7 5" xfId="10342" xr:uid="{AC171999-9FAE-4302-A2D6-DB6245E7BEC4}"/>
    <cellStyle name="Normal 8 3 8" xfId="2206" xr:uid="{00000000-0005-0000-0000-0000C91D0000}"/>
    <cellStyle name="Normal 8 3 8 2" xfId="4435" xr:uid="{00000000-0005-0000-0000-0000CA1D0000}"/>
    <cellStyle name="Normal 8 3 8 2 2" xfId="8657" xr:uid="{00000000-0005-0000-0000-0000CB1D0000}"/>
    <cellStyle name="Normal 8 3 8 2 2 2" xfId="25592" xr:uid="{EAC26A9A-B32B-43BA-9605-130CA72F2861}"/>
    <cellStyle name="Normal 8 3 8 2 2 3" xfId="17151" xr:uid="{7ACDBD51-B08D-4901-A6ED-ADF4052F441A}"/>
    <cellStyle name="Normal 8 3 8 2 3" xfId="21374" xr:uid="{5E2CE4C8-996A-47B5-A386-046F3CC33AF0}"/>
    <cellStyle name="Normal 8 3 8 2 4" xfId="12932" xr:uid="{1021A806-B49F-47F9-917C-DA60C8A6CBF5}"/>
    <cellStyle name="Normal 8 3 8 3" xfId="6512" xr:uid="{00000000-0005-0000-0000-0000CC1D0000}"/>
    <cellStyle name="Normal 8 3 8 3 2" xfId="23447" xr:uid="{23F67656-27D5-4D56-9EA5-27076ED30310}"/>
    <cellStyle name="Normal 8 3 8 3 3" xfId="15006" xr:uid="{18FC00CE-8441-4B13-A146-72D39764B7CB}"/>
    <cellStyle name="Normal 8 3 8 4" xfId="19229" xr:uid="{FA5EBD62-3CAE-4A9E-80D6-91C5267EC1D9}"/>
    <cellStyle name="Normal 8 3 8 5" xfId="10755" xr:uid="{46FDEB4D-644D-4FE0-A5C4-8884A15BE9EC}"/>
    <cellStyle name="Normal 8 3 9" xfId="2642" xr:uid="{00000000-0005-0000-0000-0000CD1D0000}"/>
    <cellStyle name="Normal 8 3 9 2" xfId="6925" xr:uid="{00000000-0005-0000-0000-0000CE1D0000}"/>
    <cellStyle name="Normal 8 3 9 2 2" xfId="23860" xr:uid="{9D4EF03B-3B8D-428E-9A45-52EBCF92BDEC}"/>
    <cellStyle name="Normal 8 3 9 2 3" xfId="15419" xr:uid="{83ECB19D-9340-4DD9-8AA1-45919A485E52}"/>
    <cellStyle name="Normal 8 3 9 3" xfId="19642" xr:uid="{C3E05BD9-6F23-43B3-A42D-39737BE2A31C}"/>
    <cellStyle name="Normal 8 3 9 4" xfId="11190" xr:uid="{988AFDF2-C5B1-48B8-9C51-BAE693B01F28}"/>
    <cellStyle name="Normal 8 4" xfId="503" xr:uid="{00000000-0005-0000-0000-0000CF1D0000}"/>
    <cellStyle name="Normal 8 4 10" xfId="17585" xr:uid="{CC34B058-0FA4-400E-904E-8A52451A91F6}"/>
    <cellStyle name="Normal 8 4 11" xfId="9110" xr:uid="{49C854B7-EA03-4E05-9B76-087EC77D9722}"/>
    <cellStyle name="Normal 8 4 2" xfId="504" xr:uid="{00000000-0005-0000-0000-0000D01D0000}"/>
    <cellStyle name="Normal 8 4 2 10" xfId="9111" xr:uid="{353B92DC-0E1D-4F73-BB98-334E8706D15E}"/>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4363" xr:uid="{4801559D-E17B-4BDB-8794-A49B12CBF91A}"/>
    <cellStyle name="Normal 8 4 2 2 2 2 2 3" xfId="15922" xr:uid="{A0310870-8F71-4784-9114-8D4926244016}"/>
    <cellStyle name="Normal 8 4 2 2 2 2 3" xfId="20145" xr:uid="{642B27CE-348A-4C55-8D25-ED6233501883}"/>
    <cellStyle name="Normal 8 4 2 2 2 2 4" xfId="11703" xr:uid="{D6D1C0E1-926C-439B-8D4A-DED63C6B204D}"/>
    <cellStyle name="Normal 8 4 2 2 2 3" xfId="5283" xr:uid="{00000000-0005-0000-0000-0000D51D0000}"/>
    <cellStyle name="Normal 8 4 2 2 2 3 2" xfId="22218" xr:uid="{73436E62-0C58-40B6-A3E4-C44EA306B51C}"/>
    <cellStyle name="Normal 8 4 2 2 2 3 3" xfId="13777" xr:uid="{A5EBC740-C455-4E2B-8C9D-C8F7896CA798}"/>
    <cellStyle name="Normal 8 4 2 2 2 4" xfId="18000" xr:uid="{4B4143AF-6458-41B2-989F-104F352AD0AD}"/>
    <cellStyle name="Normal 8 4 2 2 2 5" xfId="9526" xr:uid="{55F97D90-0C89-4904-A2E2-290D6A295E3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4776" xr:uid="{7944BB65-C6F8-49DF-AB53-B81FA1013705}"/>
    <cellStyle name="Normal 8 4 2 2 3 2 2 3" xfId="16335" xr:uid="{ADE2F791-B41F-42F3-9B3B-E1E9742D2521}"/>
    <cellStyle name="Normal 8 4 2 2 3 2 3" xfId="20558" xr:uid="{DDB51634-7FBC-41E7-BFD7-7053BB16CD07}"/>
    <cellStyle name="Normal 8 4 2 2 3 2 4" xfId="12116" xr:uid="{BB52303C-A1EF-487A-993A-BD23B21C60A5}"/>
    <cellStyle name="Normal 8 4 2 2 3 3" xfId="5696" xr:uid="{00000000-0005-0000-0000-0000D91D0000}"/>
    <cellStyle name="Normal 8 4 2 2 3 3 2" xfId="22631" xr:uid="{655DA786-7AA2-48DE-9E72-AECF7B88A3E1}"/>
    <cellStyle name="Normal 8 4 2 2 3 3 3" xfId="14190" xr:uid="{1ED73890-9082-4383-A53A-A5B17D6D5B71}"/>
    <cellStyle name="Normal 8 4 2 2 3 4" xfId="18413" xr:uid="{1E206322-348E-44BF-82B7-057A32DC0160}"/>
    <cellStyle name="Normal 8 4 2 2 3 5" xfId="9939" xr:uid="{467C630E-4B15-40AC-8C7D-0BB00917D046}"/>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5189" xr:uid="{8C1F38FF-BC78-4F20-9D75-73C8B65CD1D8}"/>
    <cellStyle name="Normal 8 4 2 2 4 2 2 3" xfId="16748" xr:uid="{DFEFCC91-8F22-49F9-A905-6CE15344327A}"/>
    <cellStyle name="Normal 8 4 2 2 4 2 3" xfId="20971" xr:uid="{8F01770E-0D63-4497-ADA1-A316EC44E2EB}"/>
    <cellStyle name="Normal 8 4 2 2 4 2 4" xfId="12529" xr:uid="{04636611-83D1-4E64-81CC-34A801D993C7}"/>
    <cellStyle name="Normal 8 4 2 2 4 3" xfId="6109" xr:uid="{00000000-0005-0000-0000-0000DD1D0000}"/>
    <cellStyle name="Normal 8 4 2 2 4 3 2" xfId="23044" xr:uid="{CDD97321-70C3-4AC1-B423-362BD9179FCF}"/>
    <cellStyle name="Normal 8 4 2 2 4 3 3" xfId="14603" xr:uid="{9950D784-2EAB-4B72-B39A-9AC59098D13B}"/>
    <cellStyle name="Normal 8 4 2 2 4 4" xfId="18826" xr:uid="{466AE301-59AE-4DD7-85FD-A2082EEDB10E}"/>
    <cellStyle name="Normal 8 4 2 2 4 5" xfId="10352" xr:uid="{1006AD01-1AC1-4959-808C-2807E551E90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5602" xr:uid="{12DAB0BE-093D-45E0-B01C-0C7E2553693E}"/>
    <cellStyle name="Normal 8 4 2 2 5 2 2 3" xfId="17161" xr:uid="{BC438BDE-1EF4-43FF-B708-C9FE79F45324}"/>
    <cellStyle name="Normal 8 4 2 2 5 2 3" xfId="21384" xr:uid="{46BAF3FC-B270-4E05-A8FF-136183457B86}"/>
    <cellStyle name="Normal 8 4 2 2 5 2 4" xfId="12942" xr:uid="{77A9E40F-86CF-4954-BA51-5AF74C710492}"/>
    <cellStyle name="Normal 8 4 2 2 5 3" xfId="6522" xr:uid="{00000000-0005-0000-0000-0000E11D0000}"/>
    <cellStyle name="Normal 8 4 2 2 5 3 2" xfId="23457" xr:uid="{DC9FCA5F-554C-4DD0-B863-F91C7F096CA0}"/>
    <cellStyle name="Normal 8 4 2 2 5 3 3" xfId="15016" xr:uid="{1DFDF8E4-5D16-4BD3-8C14-7BCCB172AC59}"/>
    <cellStyle name="Normal 8 4 2 2 5 4" xfId="19239" xr:uid="{3E69BCAD-6857-4C93-B03E-F104B22DA08C}"/>
    <cellStyle name="Normal 8 4 2 2 5 5" xfId="10765" xr:uid="{F354826C-9CDF-4CB9-94B4-3F6CB02ED541}"/>
    <cellStyle name="Normal 8 4 2 2 6" xfId="2652" xr:uid="{00000000-0005-0000-0000-0000E21D0000}"/>
    <cellStyle name="Normal 8 4 2 2 6 2" xfId="6935" xr:uid="{00000000-0005-0000-0000-0000E31D0000}"/>
    <cellStyle name="Normal 8 4 2 2 6 2 2" xfId="23870" xr:uid="{AB986A3E-83A1-45F5-8777-6EBBB9FE902A}"/>
    <cellStyle name="Normal 8 4 2 2 6 2 3" xfId="15429" xr:uid="{F88337E4-4437-4742-A3EB-AA38DE2AAD5D}"/>
    <cellStyle name="Normal 8 4 2 2 6 3" xfId="19652" xr:uid="{466DB8CF-445D-4773-BB81-DE5553F56D93}"/>
    <cellStyle name="Normal 8 4 2 2 6 4" xfId="11200" xr:uid="{86B17A18-0BC5-48CB-B6DF-27E6333038B1}"/>
    <cellStyle name="Normal 8 4 2 2 7" xfId="4870" xr:uid="{00000000-0005-0000-0000-0000E41D0000}"/>
    <cellStyle name="Normal 8 4 2 2 7 2" xfId="21805" xr:uid="{969DBEB5-16C7-4E2F-9674-B45238E0553C}"/>
    <cellStyle name="Normal 8 4 2 2 7 3" xfId="13364" xr:uid="{5BD98A19-E70E-4BA4-B96D-6578F4F64DC7}"/>
    <cellStyle name="Normal 8 4 2 2 8" xfId="17587" xr:uid="{2D063A2B-19B8-4831-AC4E-9E5B68224DC2}"/>
    <cellStyle name="Normal 8 4 2 2 9" xfId="9112" xr:uid="{F2C58F7C-1162-4336-9E07-2996C2B98118}"/>
    <cellStyle name="Normal 8 4 2 3" xfId="971" xr:uid="{00000000-0005-0000-0000-0000E51D0000}"/>
    <cellStyle name="Normal 8 4 2 3 2" xfId="3205" xr:uid="{00000000-0005-0000-0000-0000E61D0000}"/>
    <cellStyle name="Normal 8 4 2 3 2 2" xfId="7427" xr:uid="{00000000-0005-0000-0000-0000E71D0000}"/>
    <cellStyle name="Normal 8 4 2 3 2 2 2" xfId="24362" xr:uid="{AF697CD1-C150-45DF-9BFA-2640EEB6109C}"/>
    <cellStyle name="Normal 8 4 2 3 2 2 3" xfId="15921" xr:uid="{20F12953-DCAB-41AA-93A9-32189E32C08B}"/>
    <cellStyle name="Normal 8 4 2 3 2 3" xfId="20144" xr:uid="{369A151A-3B13-41EF-A8E5-9310E01D28A5}"/>
    <cellStyle name="Normal 8 4 2 3 2 4" xfId="11702" xr:uid="{BEA0D499-C29D-4032-86EA-C4D267C576E5}"/>
    <cellStyle name="Normal 8 4 2 3 3" xfId="5282" xr:uid="{00000000-0005-0000-0000-0000E81D0000}"/>
    <cellStyle name="Normal 8 4 2 3 3 2" xfId="22217" xr:uid="{CC999DB5-08F9-49E6-B36F-EA71F4835EA3}"/>
    <cellStyle name="Normal 8 4 2 3 3 3" xfId="13776" xr:uid="{ECC2A7D4-9DB0-409C-A1D5-AFCD2410D02F}"/>
    <cellStyle name="Normal 8 4 2 3 4" xfId="17999" xr:uid="{8BC9F127-80D4-4C7F-9F00-40FBDF7210FB}"/>
    <cellStyle name="Normal 8 4 2 3 5" xfId="9525" xr:uid="{ED2B9D6C-1491-4A1F-AB1B-2E83E416234A}"/>
    <cellStyle name="Normal 8 4 2 4" xfId="1388" xr:uid="{00000000-0005-0000-0000-0000E91D0000}"/>
    <cellStyle name="Normal 8 4 2 4 2" xfId="3618" xr:uid="{00000000-0005-0000-0000-0000EA1D0000}"/>
    <cellStyle name="Normal 8 4 2 4 2 2" xfId="7840" xr:uid="{00000000-0005-0000-0000-0000EB1D0000}"/>
    <cellStyle name="Normal 8 4 2 4 2 2 2" xfId="24775" xr:uid="{56A98682-8227-492E-B81E-2C4D6B114247}"/>
    <cellStyle name="Normal 8 4 2 4 2 2 3" xfId="16334" xr:uid="{66872081-3590-4F75-8995-7E3FCF1DEB69}"/>
    <cellStyle name="Normal 8 4 2 4 2 3" xfId="20557" xr:uid="{09EA53B6-D37A-4867-BC01-D9443C0CF441}"/>
    <cellStyle name="Normal 8 4 2 4 2 4" xfId="12115" xr:uid="{7B0DD506-83B4-452B-9FF3-453C9956749F}"/>
    <cellStyle name="Normal 8 4 2 4 3" xfId="5695" xr:uid="{00000000-0005-0000-0000-0000EC1D0000}"/>
    <cellStyle name="Normal 8 4 2 4 3 2" xfId="22630" xr:uid="{C637341E-912C-4C35-8AF1-8D04E8F23BFD}"/>
    <cellStyle name="Normal 8 4 2 4 3 3" xfId="14189" xr:uid="{8DE9BF3E-28ED-4AE7-92CE-74BF9F1D1AF4}"/>
    <cellStyle name="Normal 8 4 2 4 4" xfId="18412" xr:uid="{509CC9BE-88B5-4069-AC4E-236D50AA4712}"/>
    <cellStyle name="Normal 8 4 2 4 5" xfId="9938" xr:uid="{6E3C7553-1B11-43B6-ABE1-EF10BF95348C}"/>
    <cellStyle name="Normal 8 4 2 5" xfId="1801" xr:uid="{00000000-0005-0000-0000-0000ED1D0000}"/>
    <cellStyle name="Normal 8 4 2 5 2" xfId="4031" xr:uid="{00000000-0005-0000-0000-0000EE1D0000}"/>
    <cellStyle name="Normal 8 4 2 5 2 2" xfId="8253" xr:uid="{00000000-0005-0000-0000-0000EF1D0000}"/>
    <cellStyle name="Normal 8 4 2 5 2 2 2" xfId="25188" xr:uid="{2234CDFB-4A82-45D8-8E63-4C376203CA5C}"/>
    <cellStyle name="Normal 8 4 2 5 2 2 3" xfId="16747" xr:uid="{A477F890-F19C-423D-8936-A50552613F35}"/>
    <cellStyle name="Normal 8 4 2 5 2 3" xfId="20970" xr:uid="{211DF09C-4C6A-457F-A7AE-6AFC97EDC3B1}"/>
    <cellStyle name="Normal 8 4 2 5 2 4" xfId="12528" xr:uid="{0B2520AF-A217-4EE5-A290-0C18C2316D89}"/>
    <cellStyle name="Normal 8 4 2 5 3" xfId="6108" xr:uid="{00000000-0005-0000-0000-0000F01D0000}"/>
    <cellStyle name="Normal 8 4 2 5 3 2" xfId="23043" xr:uid="{742141E6-8E3F-42FE-BE10-3AD2F9631BB5}"/>
    <cellStyle name="Normal 8 4 2 5 3 3" xfId="14602" xr:uid="{888684A4-1963-48CD-A111-7139A3A6547B}"/>
    <cellStyle name="Normal 8 4 2 5 4" xfId="18825" xr:uid="{1EEF807E-B1A7-4DBB-8071-BF190DBCED2E}"/>
    <cellStyle name="Normal 8 4 2 5 5" xfId="10351" xr:uid="{09210A75-11E1-48B2-9D19-10CD1C98AE3A}"/>
    <cellStyle name="Normal 8 4 2 6" xfId="2215" xr:uid="{00000000-0005-0000-0000-0000F11D0000}"/>
    <cellStyle name="Normal 8 4 2 6 2" xfId="4444" xr:uid="{00000000-0005-0000-0000-0000F21D0000}"/>
    <cellStyle name="Normal 8 4 2 6 2 2" xfId="8666" xr:uid="{00000000-0005-0000-0000-0000F31D0000}"/>
    <cellStyle name="Normal 8 4 2 6 2 2 2" xfId="25601" xr:uid="{681D7D05-0980-4F70-B59C-7FA47C1DE91E}"/>
    <cellStyle name="Normal 8 4 2 6 2 2 3" xfId="17160" xr:uid="{4A3597A7-CC1E-49AC-83F4-17F43BC8EDBA}"/>
    <cellStyle name="Normal 8 4 2 6 2 3" xfId="21383" xr:uid="{3DA4EA43-E79E-4019-93C0-99D5F8D009CF}"/>
    <cellStyle name="Normal 8 4 2 6 2 4" xfId="12941" xr:uid="{A6A7347A-1433-4D42-9091-5C6B174B715B}"/>
    <cellStyle name="Normal 8 4 2 6 3" xfId="6521" xr:uid="{00000000-0005-0000-0000-0000F41D0000}"/>
    <cellStyle name="Normal 8 4 2 6 3 2" xfId="23456" xr:uid="{24F6B5BC-A748-4D98-A940-3F8D76E2B9E6}"/>
    <cellStyle name="Normal 8 4 2 6 3 3" xfId="15015" xr:uid="{5E4B5A29-E1DE-4421-B057-A9E8143759A7}"/>
    <cellStyle name="Normal 8 4 2 6 4" xfId="19238" xr:uid="{C3A47A58-8F33-4560-AB68-2C1FBE4CB87A}"/>
    <cellStyle name="Normal 8 4 2 6 5" xfId="10764" xr:uid="{3360229E-8B62-429A-8058-E774077F083F}"/>
    <cellStyle name="Normal 8 4 2 7" xfId="2651" xr:uid="{00000000-0005-0000-0000-0000F51D0000}"/>
    <cellStyle name="Normal 8 4 2 7 2" xfId="6934" xr:uid="{00000000-0005-0000-0000-0000F61D0000}"/>
    <cellStyle name="Normal 8 4 2 7 2 2" xfId="23869" xr:uid="{BA50B0A9-75B0-4603-8763-2AD0706FAC00}"/>
    <cellStyle name="Normal 8 4 2 7 2 3" xfId="15428" xr:uid="{9EA75283-D601-4CE1-9A1B-3D17EEDE2AA6}"/>
    <cellStyle name="Normal 8 4 2 7 3" xfId="19651" xr:uid="{632966C4-ED51-4074-B7A2-8E9044596075}"/>
    <cellStyle name="Normal 8 4 2 7 4" xfId="11199" xr:uid="{FF3C2B3F-AC59-4E2E-9D2E-365B261BEE48}"/>
    <cellStyle name="Normal 8 4 2 8" xfId="4869" xr:uid="{00000000-0005-0000-0000-0000F71D0000}"/>
    <cellStyle name="Normal 8 4 2 8 2" xfId="21804" xr:uid="{FDDA73C8-30A0-49E3-9214-2C4002F00BA9}"/>
    <cellStyle name="Normal 8 4 2 8 3" xfId="13363" xr:uid="{778B6830-9976-483B-9BE4-25242A0D0199}"/>
    <cellStyle name="Normal 8 4 2 9" xfId="17586" xr:uid="{07B0D40B-B371-4D8A-BCCA-88B344BC1FE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4364" xr:uid="{9B597D51-47DD-48D6-912F-D3ED4561B98D}"/>
    <cellStyle name="Normal 8 4 3 2 2 2 3" xfId="15923" xr:uid="{BF4A8B3A-303D-430B-AD4A-382E58D2878D}"/>
    <cellStyle name="Normal 8 4 3 2 2 3" xfId="20146" xr:uid="{5C6055E1-80DF-4614-8F97-CE0ACF32557B}"/>
    <cellStyle name="Normal 8 4 3 2 2 4" xfId="11704" xr:uid="{9B524B60-E802-4CB1-B9E1-24A1E1FF899C}"/>
    <cellStyle name="Normal 8 4 3 2 3" xfId="5284" xr:uid="{00000000-0005-0000-0000-0000FC1D0000}"/>
    <cellStyle name="Normal 8 4 3 2 3 2" xfId="22219" xr:uid="{4B09E2CD-C6C6-4E46-84A2-F5E6119A2DE4}"/>
    <cellStyle name="Normal 8 4 3 2 3 3" xfId="13778" xr:uid="{1DCADFA0-1872-4ECA-AA0C-FE350CAF0D44}"/>
    <cellStyle name="Normal 8 4 3 2 4" xfId="18001" xr:uid="{9BB56E62-8305-4307-B17E-7A1D99043972}"/>
    <cellStyle name="Normal 8 4 3 2 5" xfId="9527" xr:uid="{455D8368-4101-4CE3-B22D-87C4D8763254}"/>
    <cellStyle name="Normal 8 4 3 3" xfId="1390" xr:uid="{00000000-0005-0000-0000-0000FD1D0000}"/>
    <cellStyle name="Normal 8 4 3 3 2" xfId="3620" xr:uid="{00000000-0005-0000-0000-0000FE1D0000}"/>
    <cellStyle name="Normal 8 4 3 3 2 2" xfId="7842" xr:uid="{00000000-0005-0000-0000-0000FF1D0000}"/>
    <cellStyle name="Normal 8 4 3 3 2 2 2" xfId="24777" xr:uid="{F10466D5-FF1B-40B2-A71F-9F7DA6121173}"/>
    <cellStyle name="Normal 8 4 3 3 2 2 3" xfId="16336" xr:uid="{CE932B43-4007-4529-865D-6BF7CC8D758C}"/>
    <cellStyle name="Normal 8 4 3 3 2 3" xfId="20559" xr:uid="{DEFDB21C-5F1C-4E1B-A32D-AD7B926FF521}"/>
    <cellStyle name="Normal 8 4 3 3 2 4" xfId="12117" xr:uid="{7BC41CAB-16D7-4340-959F-CBF0ECC87056}"/>
    <cellStyle name="Normal 8 4 3 3 3" xfId="5697" xr:uid="{00000000-0005-0000-0000-0000001E0000}"/>
    <cellStyle name="Normal 8 4 3 3 3 2" xfId="22632" xr:uid="{16F763C2-EAA6-4CFA-8B31-9C79B687E97C}"/>
    <cellStyle name="Normal 8 4 3 3 3 3" xfId="14191" xr:uid="{FF51C2C8-7312-44E6-85DD-C9D161400F97}"/>
    <cellStyle name="Normal 8 4 3 3 4" xfId="18414" xr:uid="{6C95CCF5-D54F-4390-A2D3-D1280D960263}"/>
    <cellStyle name="Normal 8 4 3 3 5" xfId="9940" xr:uid="{44E17DD3-0308-4E85-A199-D1F47E1E53AF}"/>
    <cellStyle name="Normal 8 4 3 4" xfId="1803" xr:uid="{00000000-0005-0000-0000-0000011E0000}"/>
    <cellStyle name="Normal 8 4 3 4 2" xfId="4033" xr:uid="{00000000-0005-0000-0000-0000021E0000}"/>
    <cellStyle name="Normal 8 4 3 4 2 2" xfId="8255" xr:uid="{00000000-0005-0000-0000-0000031E0000}"/>
    <cellStyle name="Normal 8 4 3 4 2 2 2" xfId="25190" xr:uid="{9883DB6D-4855-4D19-8304-339818098B2B}"/>
    <cellStyle name="Normal 8 4 3 4 2 2 3" xfId="16749" xr:uid="{D5C009CC-ABBF-4779-98B7-27BDCCF57A1A}"/>
    <cellStyle name="Normal 8 4 3 4 2 3" xfId="20972" xr:uid="{8E6C4E9C-4CB3-4DB3-81FA-2FA28467E480}"/>
    <cellStyle name="Normal 8 4 3 4 2 4" xfId="12530" xr:uid="{455E0FF5-C2B7-423B-8BE9-519B5CFB1D36}"/>
    <cellStyle name="Normal 8 4 3 4 3" xfId="6110" xr:uid="{00000000-0005-0000-0000-0000041E0000}"/>
    <cellStyle name="Normal 8 4 3 4 3 2" xfId="23045" xr:uid="{69EB7DEF-4F33-461F-93E8-6650C30962D9}"/>
    <cellStyle name="Normal 8 4 3 4 3 3" xfId="14604" xr:uid="{FA0A88BB-A10A-4910-A762-78AD04AB2851}"/>
    <cellStyle name="Normal 8 4 3 4 4" xfId="18827" xr:uid="{7C32F473-E7F1-462F-A295-07CE92AAD68B}"/>
    <cellStyle name="Normal 8 4 3 4 5" xfId="10353" xr:uid="{B07085E1-CB7A-4001-8446-9AFBB967F515}"/>
    <cellStyle name="Normal 8 4 3 5" xfId="2217" xr:uid="{00000000-0005-0000-0000-0000051E0000}"/>
    <cellStyle name="Normal 8 4 3 5 2" xfId="4446" xr:uid="{00000000-0005-0000-0000-0000061E0000}"/>
    <cellStyle name="Normal 8 4 3 5 2 2" xfId="8668" xr:uid="{00000000-0005-0000-0000-0000071E0000}"/>
    <cellStyle name="Normal 8 4 3 5 2 2 2" xfId="25603" xr:uid="{6CFAEDAA-5E5C-4835-B5AC-D8CFEFC5B49F}"/>
    <cellStyle name="Normal 8 4 3 5 2 2 3" xfId="17162" xr:uid="{A6E17DC6-4C19-4BB4-9603-0ECA0E8D23A0}"/>
    <cellStyle name="Normal 8 4 3 5 2 3" xfId="21385" xr:uid="{2656999D-0458-4044-8AC0-210F9EEAB340}"/>
    <cellStyle name="Normal 8 4 3 5 2 4" xfId="12943" xr:uid="{7F9355E6-BBC3-4310-8900-B4D2D8D9927B}"/>
    <cellStyle name="Normal 8 4 3 5 3" xfId="6523" xr:uid="{00000000-0005-0000-0000-0000081E0000}"/>
    <cellStyle name="Normal 8 4 3 5 3 2" xfId="23458" xr:uid="{157D2C73-2505-4B83-A21B-2CA92CC0FA4E}"/>
    <cellStyle name="Normal 8 4 3 5 3 3" xfId="15017" xr:uid="{C269ADB4-0BF6-4E1E-8E03-DBEB2F7F41B9}"/>
    <cellStyle name="Normal 8 4 3 5 4" xfId="19240" xr:uid="{49EF65D1-77DF-4F25-A5B7-0B7DD5F51ECF}"/>
    <cellStyle name="Normal 8 4 3 5 5" xfId="10766" xr:uid="{CED45C7E-6C9D-4E0E-9492-32488BEF6C53}"/>
    <cellStyle name="Normal 8 4 3 6" xfId="2653" xr:uid="{00000000-0005-0000-0000-0000091E0000}"/>
    <cellStyle name="Normal 8 4 3 6 2" xfId="6936" xr:uid="{00000000-0005-0000-0000-00000A1E0000}"/>
    <cellStyle name="Normal 8 4 3 6 2 2" xfId="23871" xr:uid="{FC280496-ABC8-4884-9B7F-CB92E40AF617}"/>
    <cellStyle name="Normal 8 4 3 6 2 3" xfId="15430" xr:uid="{C7C83597-DF45-43DB-B34C-1ABD036F2C34}"/>
    <cellStyle name="Normal 8 4 3 6 3" xfId="19653" xr:uid="{96833E09-3ACC-48E9-8577-143CF8653238}"/>
    <cellStyle name="Normal 8 4 3 6 4" xfId="11201" xr:uid="{8FB827D2-6580-4D9D-8EB3-0CACE1BE67BE}"/>
    <cellStyle name="Normal 8 4 3 7" xfId="4871" xr:uid="{00000000-0005-0000-0000-00000B1E0000}"/>
    <cellStyle name="Normal 8 4 3 7 2" xfId="21806" xr:uid="{99C2875D-DDFE-4F61-B876-EA0EE9C125BF}"/>
    <cellStyle name="Normal 8 4 3 7 3" xfId="13365" xr:uid="{E0A0397C-9C53-423C-A156-C7DD7E2EFBFF}"/>
    <cellStyle name="Normal 8 4 3 8" xfId="17588" xr:uid="{78DA47F9-1BA6-4360-97FD-98A5600D2AC9}"/>
    <cellStyle name="Normal 8 4 3 9" xfId="9113" xr:uid="{76F2522C-DABC-47BE-AEDD-CC64FB6D1EA2}"/>
    <cellStyle name="Normal 8 4 4" xfId="970" xr:uid="{00000000-0005-0000-0000-00000C1E0000}"/>
    <cellStyle name="Normal 8 4 4 2" xfId="3204" xr:uid="{00000000-0005-0000-0000-00000D1E0000}"/>
    <cellStyle name="Normal 8 4 4 2 2" xfId="7426" xr:uid="{00000000-0005-0000-0000-00000E1E0000}"/>
    <cellStyle name="Normal 8 4 4 2 2 2" xfId="24361" xr:uid="{AFDBB197-8B82-479A-BD0B-E2318D804F76}"/>
    <cellStyle name="Normal 8 4 4 2 2 3" xfId="15920" xr:uid="{FEDFC50F-1552-4432-8248-7C51C1A388D8}"/>
    <cellStyle name="Normal 8 4 4 2 3" xfId="20143" xr:uid="{CCE1BF0E-59D9-497F-A904-64DE344D1F1F}"/>
    <cellStyle name="Normal 8 4 4 2 4" xfId="11701" xr:uid="{01E5CB4B-5A34-4404-8208-3063A420F644}"/>
    <cellStyle name="Normal 8 4 4 3" xfId="5281" xr:uid="{00000000-0005-0000-0000-00000F1E0000}"/>
    <cellStyle name="Normal 8 4 4 3 2" xfId="22216" xr:uid="{F344DCB4-FF04-4810-B072-A9139771D644}"/>
    <cellStyle name="Normal 8 4 4 3 3" xfId="13775" xr:uid="{074E5C14-CAA1-4331-A59D-201996C7CD09}"/>
    <cellStyle name="Normal 8 4 4 4" xfId="17998" xr:uid="{3E35EDB0-78E3-4316-BB62-A3BCF946E5B7}"/>
    <cellStyle name="Normal 8 4 4 5" xfId="9524" xr:uid="{B217589B-E123-44DD-ADF6-04BE3884F430}"/>
    <cellStyle name="Normal 8 4 5" xfId="1387" xr:uid="{00000000-0005-0000-0000-0000101E0000}"/>
    <cellStyle name="Normal 8 4 5 2" xfId="3617" xr:uid="{00000000-0005-0000-0000-0000111E0000}"/>
    <cellStyle name="Normal 8 4 5 2 2" xfId="7839" xr:uid="{00000000-0005-0000-0000-0000121E0000}"/>
    <cellStyle name="Normal 8 4 5 2 2 2" xfId="24774" xr:uid="{BF70F293-6D6D-43B8-8F54-35B0687A1020}"/>
    <cellStyle name="Normal 8 4 5 2 2 3" xfId="16333" xr:uid="{7D41E6EB-7284-4818-9F15-8FB34C94D41F}"/>
    <cellStyle name="Normal 8 4 5 2 3" xfId="20556" xr:uid="{D42DD0C8-8E43-4E38-B977-3C2ACC4EE481}"/>
    <cellStyle name="Normal 8 4 5 2 4" xfId="12114" xr:uid="{6EF895FD-10FE-4C3D-8D3B-2D6DECF1E41B}"/>
    <cellStyle name="Normal 8 4 5 3" xfId="5694" xr:uid="{00000000-0005-0000-0000-0000131E0000}"/>
    <cellStyle name="Normal 8 4 5 3 2" xfId="22629" xr:uid="{D5C56241-ACA9-456A-B5C4-EDF7DB50ED66}"/>
    <cellStyle name="Normal 8 4 5 3 3" xfId="14188" xr:uid="{DF8EF3D4-B5D6-41E8-8184-CB6F012D2BFE}"/>
    <cellStyle name="Normal 8 4 5 4" xfId="18411" xr:uid="{034D2FE9-8CC4-4BFB-B902-2A12EDFA918C}"/>
    <cellStyle name="Normal 8 4 5 5" xfId="9937" xr:uid="{C955C5AC-AFE9-4590-9C58-D3EE97BDBAFF}"/>
    <cellStyle name="Normal 8 4 6" xfId="1800" xr:uid="{00000000-0005-0000-0000-0000141E0000}"/>
    <cellStyle name="Normal 8 4 6 2" xfId="4030" xr:uid="{00000000-0005-0000-0000-0000151E0000}"/>
    <cellStyle name="Normal 8 4 6 2 2" xfId="8252" xr:uid="{00000000-0005-0000-0000-0000161E0000}"/>
    <cellStyle name="Normal 8 4 6 2 2 2" xfId="25187" xr:uid="{65769F0B-F25C-4493-9F18-E3EB22B49509}"/>
    <cellStyle name="Normal 8 4 6 2 2 3" xfId="16746" xr:uid="{BA690438-A102-4EFF-98AE-4092F62BA23F}"/>
    <cellStyle name="Normal 8 4 6 2 3" xfId="20969" xr:uid="{8CB7DD55-17D6-4954-BA65-0469B7087205}"/>
    <cellStyle name="Normal 8 4 6 2 4" xfId="12527" xr:uid="{CA977759-D8A1-44E2-A1ED-B827AC4B9073}"/>
    <cellStyle name="Normal 8 4 6 3" xfId="6107" xr:uid="{00000000-0005-0000-0000-0000171E0000}"/>
    <cellStyle name="Normal 8 4 6 3 2" xfId="23042" xr:uid="{E8015AF0-7205-4B48-ACE1-5C7775AE3515}"/>
    <cellStyle name="Normal 8 4 6 3 3" xfId="14601" xr:uid="{1E96438B-AC00-4F7B-9F79-EE949DB5A969}"/>
    <cellStyle name="Normal 8 4 6 4" xfId="18824" xr:uid="{22A8A515-7689-4016-8B36-F8F83BCAEFE7}"/>
    <cellStyle name="Normal 8 4 6 5" xfId="10350" xr:uid="{F1869200-0051-4B2B-BB46-CA97550319FF}"/>
    <cellStyle name="Normal 8 4 7" xfId="2214" xr:uid="{00000000-0005-0000-0000-0000181E0000}"/>
    <cellStyle name="Normal 8 4 7 2" xfId="4443" xr:uid="{00000000-0005-0000-0000-0000191E0000}"/>
    <cellStyle name="Normal 8 4 7 2 2" xfId="8665" xr:uid="{00000000-0005-0000-0000-00001A1E0000}"/>
    <cellStyle name="Normal 8 4 7 2 2 2" xfId="25600" xr:uid="{96A2BF35-D2EE-4CA0-9305-06637DAB2C54}"/>
    <cellStyle name="Normal 8 4 7 2 2 3" xfId="17159" xr:uid="{07039115-2241-4B8A-AB68-48D26C1D0F71}"/>
    <cellStyle name="Normal 8 4 7 2 3" xfId="21382" xr:uid="{DA28BB29-6BA9-4454-9D39-55CE864227D9}"/>
    <cellStyle name="Normal 8 4 7 2 4" xfId="12940" xr:uid="{05D26AA0-F003-447A-A5F3-9B768F2A39BD}"/>
    <cellStyle name="Normal 8 4 7 3" xfId="6520" xr:uid="{00000000-0005-0000-0000-00001B1E0000}"/>
    <cellStyle name="Normal 8 4 7 3 2" xfId="23455" xr:uid="{92A5BD9C-49B5-4C5E-AD05-5AE285B9F76A}"/>
    <cellStyle name="Normal 8 4 7 3 3" xfId="15014" xr:uid="{1BC03DA1-28C8-4B77-A9AE-A452A19D7A33}"/>
    <cellStyle name="Normal 8 4 7 4" xfId="19237" xr:uid="{180512EC-FA2A-43F5-BA49-2E68DA477589}"/>
    <cellStyle name="Normal 8 4 7 5" xfId="10763" xr:uid="{CDD06EAF-560B-40EB-8A12-94765ED189B4}"/>
    <cellStyle name="Normal 8 4 8" xfId="2650" xr:uid="{00000000-0005-0000-0000-00001C1E0000}"/>
    <cellStyle name="Normal 8 4 8 2" xfId="6933" xr:uid="{00000000-0005-0000-0000-00001D1E0000}"/>
    <cellStyle name="Normal 8 4 8 2 2" xfId="23868" xr:uid="{EC58FF25-DE55-4E64-84AC-59273F256266}"/>
    <cellStyle name="Normal 8 4 8 2 3" xfId="15427" xr:uid="{CEDA7FF6-D5F6-4D29-A0A8-76F6C7017449}"/>
    <cellStyle name="Normal 8 4 8 3" xfId="19650" xr:uid="{AFD6A191-5F08-4E6F-8848-10CBA9B3403D}"/>
    <cellStyle name="Normal 8 4 8 4" xfId="11198" xr:uid="{E1ACC745-CEBC-478A-9B38-B013FAD7F74B}"/>
    <cellStyle name="Normal 8 4 9" xfId="4868" xr:uid="{00000000-0005-0000-0000-00001E1E0000}"/>
    <cellStyle name="Normal 8 4 9 2" xfId="21803" xr:uid="{E551C849-03C2-4590-8716-AD866DCDA93C}"/>
    <cellStyle name="Normal 8 4 9 3" xfId="13362" xr:uid="{D6DA2356-1857-4E04-99C9-5307C7B26E41}"/>
    <cellStyle name="Normal 8 5" xfId="507" xr:uid="{00000000-0005-0000-0000-00001F1E0000}"/>
    <cellStyle name="Normal 8 5 10" xfId="9114" xr:uid="{ABE6024C-3A0A-4F0F-AC29-AA7EF4620CC3}"/>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4366" xr:uid="{4744EF3F-D324-414B-9ACE-6720E3D0E58C}"/>
    <cellStyle name="Normal 8 5 2 2 2 2 3" xfId="15925" xr:uid="{8C2EF092-F053-42B7-896D-9BCA6033CA6E}"/>
    <cellStyle name="Normal 8 5 2 2 2 3" xfId="20148" xr:uid="{0BD4D8BA-8E32-4626-8971-0993158CC3D9}"/>
    <cellStyle name="Normal 8 5 2 2 2 4" xfId="11706" xr:uid="{8443591E-D16F-4753-8309-12457066690B}"/>
    <cellStyle name="Normal 8 5 2 2 3" xfId="5286" xr:uid="{00000000-0005-0000-0000-0000241E0000}"/>
    <cellStyle name="Normal 8 5 2 2 3 2" xfId="22221" xr:uid="{81490A01-285D-4DD9-8E8B-03EE37CDB454}"/>
    <cellStyle name="Normal 8 5 2 2 3 3" xfId="13780" xr:uid="{AB2FD213-F3A8-4B91-A40B-ED6DFCB1B9D7}"/>
    <cellStyle name="Normal 8 5 2 2 4" xfId="18003" xr:uid="{CF78C533-17AE-4037-994C-E4DB62D7CA95}"/>
    <cellStyle name="Normal 8 5 2 2 5" xfId="9529" xr:uid="{43B45DCC-FC64-4257-87E0-462B4D544F6C}"/>
    <cellStyle name="Normal 8 5 2 3" xfId="1392" xr:uid="{00000000-0005-0000-0000-0000251E0000}"/>
    <cellStyle name="Normal 8 5 2 3 2" xfId="3622" xr:uid="{00000000-0005-0000-0000-0000261E0000}"/>
    <cellStyle name="Normal 8 5 2 3 2 2" xfId="7844" xr:uid="{00000000-0005-0000-0000-0000271E0000}"/>
    <cellStyle name="Normal 8 5 2 3 2 2 2" xfId="24779" xr:uid="{07200750-A73C-4559-AF8D-FB10D19E32B5}"/>
    <cellStyle name="Normal 8 5 2 3 2 2 3" xfId="16338" xr:uid="{E015BF1C-E3EF-4403-9F27-CDF88ACE4CD9}"/>
    <cellStyle name="Normal 8 5 2 3 2 3" xfId="20561" xr:uid="{AA722BF0-B5E3-4101-8F10-5AEB125A52FF}"/>
    <cellStyle name="Normal 8 5 2 3 2 4" xfId="12119" xr:uid="{4FD8AC2F-DBA0-4025-8257-AC912212FD11}"/>
    <cellStyle name="Normal 8 5 2 3 3" xfId="5699" xr:uid="{00000000-0005-0000-0000-0000281E0000}"/>
    <cellStyle name="Normal 8 5 2 3 3 2" xfId="22634" xr:uid="{FE715F0A-A469-4939-ABAD-5D8667C50906}"/>
    <cellStyle name="Normal 8 5 2 3 3 3" xfId="14193" xr:uid="{7DA4D156-1299-441D-8A11-761B7EEB36C0}"/>
    <cellStyle name="Normal 8 5 2 3 4" xfId="18416" xr:uid="{F9946794-F430-4F30-B9D7-0C97291BD2E9}"/>
    <cellStyle name="Normal 8 5 2 3 5" xfId="9942" xr:uid="{61966A4A-40C1-4A1E-8EB0-4E48CA6F0BE2}"/>
    <cellStyle name="Normal 8 5 2 4" xfId="1805" xr:uid="{00000000-0005-0000-0000-0000291E0000}"/>
    <cellStyle name="Normal 8 5 2 4 2" xfId="4035" xr:uid="{00000000-0005-0000-0000-00002A1E0000}"/>
    <cellStyle name="Normal 8 5 2 4 2 2" xfId="8257" xr:uid="{00000000-0005-0000-0000-00002B1E0000}"/>
    <cellStyle name="Normal 8 5 2 4 2 2 2" xfId="25192" xr:uid="{09C38A54-E1D2-4BE8-A4DE-75D76766CBB1}"/>
    <cellStyle name="Normal 8 5 2 4 2 2 3" xfId="16751" xr:uid="{492B98DC-E344-4B54-8F93-C98B9B3DC1F3}"/>
    <cellStyle name="Normal 8 5 2 4 2 3" xfId="20974" xr:uid="{F161D184-BDA4-4E87-A557-3E6D22659AEC}"/>
    <cellStyle name="Normal 8 5 2 4 2 4" xfId="12532" xr:uid="{B48C91D2-3061-4F55-B556-EBF661B5BB15}"/>
    <cellStyle name="Normal 8 5 2 4 3" xfId="6112" xr:uid="{00000000-0005-0000-0000-00002C1E0000}"/>
    <cellStyle name="Normal 8 5 2 4 3 2" xfId="23047" xr:uid="{2F39BE7E-048F-496C-91A0-516AFC4CD6CF}"/>
    <cellStyle name="Normal 8 5 2 4 3 3" xfId="14606" xr:uid="{DFD78237-1FB4-46DA-A4D6-9FCBEE166365}"/>
    <cellStyle name="Normal 8 5 2 4 4" xfId="18829" xr:uid="{889E7AA5-2D35-4F55-BCEB-5C47CF93DE51}"/>
    <cellStyle name="Normal 8 5 2 4 5" xfId="10355" xr:uid="{D0B09C6A-5AD7-4A5B-A826-191D58514903}"/>
    <cellStyle name="Normal 8 5 2 5" xfId="2219" xr:uid="{00000000-0005-0000-0000-00002D1E0000}"/>
    <cellStyle name="Normal 8 5 2 5 2" xfId="4448" xr:uid="{00000000-0005-0000-0000-00002E1E0000}"/>
    <cellStyle name="Normal 8 5 2 5 2 2" xfId="8670" xr:uid="{00000000-0005-0000-0000-00002F1E0000}"/>
    <cellStyle name="Normal 8 5 2 5 2 2 2" xfId="25605" xr:uid="{AA2E57E1-66B9-4EED-A6FA-73412FC4E9F8}"/>
    <cellStyle name="Normal 8 5 2 5 2 2 3" xfId="17164" xr:uid="{BFC94CA8-DC62-4D70-AA43-E0899A2ADBEC}"/>
    <cellStyle name="Normal 8 5 2 5 2 3" xfId="21387" xr:uid="{68EE1AF0-2CDE-4E4C-BC91-E0C7D418DD9A}"/>
    <cellStyle name="Normal 8 5 2 5 2 4" xfId="12945" xr:uid="{8FEBFC41-DB08-4C65-B92B-CED39B439777}"/>
    <cellStyle name="Normal 8 5 2 5 3" xfId="6525" xr:uid="{00000000-0005-0000-0000-0000301E0000}"/>
    <cellStyle name="Normal 8 5 2 5 3 2" xfId="23460" xr:uid="{60078C71-7EED-48D3-B96F-17A4E017D3D5}"/>
    <cellStyle name="Normal 8 5 2 5 3 3" xfId="15019" xr:uid="{4C3A7384-7690-43CC-80E1-074DFDA83BC7}"/>
    <cellStyle name="Normal 8 5 2 5 4" xfId="19242" xr:uid="{75D4BC32-90C2-49AB-9958-01338CA35932}"/>
    <cellStyle name="Normal 8 5 2 5 5" xfId="10768" xr:uid="{E049D1F7-0A99-4C3F-B00D-FD4C843A9838}"/>
    <cellStyle name="Normal 8 5 2 6" xfId="2655" xr:uid="{00000000-0005-0000-0000-0000311E0000}"/>
    <cellStyle name="Normal 8 5 2 6 2" xfId="6938" xr:uid="{00000000-0005-0000-0000-0000321E0000}"/>
    <cellStyle name="Normal 8 5 2 6 2 2" xfId="23873" xr:uid="{A5F39608-5D25-427C-8053-73FC241F06CF}"/>
    <cellStyle name="Normal 8 5 2 6 2 3" xfId="15432" xr:uid="{9278B88E-C4C0-495A-8FDF-CE2071FCFE90}"/>
    <cellStyle name="Normal 8 5 2 6 3" xfId="19655" xr:uid="{38CD81A0-2E9C-4ED0-A485-396CD2E633C5}"/>
    <cellStyle name="Normal 8 5 2 6 4" xfId="11203" xr:uid="{7CC9C198-D4F1-482E-9A6F-B2775F98CE6F}"/>
    <cellStyle name="Normal 8 5 2 7" xfId="4873" xr:uid="{00000000-0005-0000-0000-0000331E0000}"/>
    <cellStyle name="Normal 8 5 2 7 2" xfId="21808" xr:uid="{A67C2FB5-EC90-40E6-86BA-8235741013D0}"/>
    <cellStyle name="Normal 8 5 2 7 3" xfId="13367" xr:uid="{6909D6D7-64E1-4368-B4D0-EB23CF52B6D7}"/>
    <cellStyle name="Normal 8 5 2 8" xfId="17590" xr:uid="{3C99F5A9-5CC5-48D4-9C55-F98E42A96192}"/>
    <cellStyle name="Normal 8 5 2 9" xfId="9115" xr:uid="{D1AB036B-5754-4A6F-8929-C05277C10403}"/>
    <cellStyle name="Normal 8 5 3" xfId="974" xr:uid="{00000000-0005-0000-0000-0000341E0000}"/>
    <cellStyle name="Normal 8 5 3 2" xfId="3208" xr:uid="{00000000-0005-0000-0000-0000351E0000}"/>
    <cellStyle name="Normal 8 5 3 2 2" xfId="7430" xr:uid="{00000000-0005-0000-0000-0000361E0000}"/>
    <cellStyle name="Normal 8 5 3 2 2 2" xfId="24365" xr:uid="{D53E9022-6E97-4BE1-97F2-522CC4CB1FE8}"/>
    <cellStyle name="Normal 8 5 3 2 2 3" xfId="15924" xr:uid="{1350352E-DD04-4279-A6DC-B95095F95F61}"/>
    <cellStyle name="Normal 8 5 3 2 3" xfId="20147" xr:uid="{29967D27-0991-49B7-97B2-7B21D28C4603}"/>
    <cellStyle name="Normal 8 5 3 2 4" xfId="11705" xr:uid="{873C34ED-88F1-4474-9F39-AE162B972904}"/>
    <cellStyle name="Normal 8 5 3 3" xfId="5285" xr:uid="{00000000-0005-0000-0000-0000371E0000}"/>
    <cellStyle name="Normal 8 5 3 3 2" xfId="22220" xr:uid="{908CA1CD-51CE-40CC-970A-937E8D3A05F1}"/>
    <cellStyle name="Normal 8 5 3 3 3" xfId="13779" xr:uid="{213D9D3D-7D08-45D6-A17F-0E66218EDD03}"/>
    <cellStyle name="Normal 8 5 3 4" xfId="18002" xr:uid="{FD8E6EC9-F8BF-4AB1-B16A-D0D9EA5E9333}"/>
    <cellStyle name="Normal 8 5 3 5" xfId="9528" xr:uid="{3287839C-0775-4193-8ACB-CD035C19CD3A}"/>
    <cellStyle name="Normal 8 5 4" xfId="1391" xr:uid="{00000000-0005-0000-0000-0000381E0000}"/>
    <cellStyle name="Normal 8 5 4 2" xfId="3621" xr:uid="{00000000-0005-0000-0000-0000391E0000}"/>
    <cellStyle name="Normal 8 5 4 2 2" xfId="7843" xr:uid="{00000000-0005-0000-0000-00003A1E0000}"/>
    <cellStyle name="Normal 8 5 4 2 2 2" xfId="24778" xr:uid="{50B0F3A7-0081-4ED8-B33A-E7371FACB0A4}"/>
    <cellStyle name="Normal 8 5 4 2 2 3" xfId="16337" xr:uid="{4337EEDB-B307-4459-9E99-5FDE2E193F52}"/>
    <cellStyle name="Normal 8 5 4 2 3" xfId="20560" xr:uid="{EA9D2E11-F900-48A7-A6F1-345DCCBFBBF9}"/>
    <cellStyle name="Normal 8 5 4 2 4" xfId="12118" xr:uid="{181DDCB8-6F21-4F47-8008-A398C7151B94}"/>
    <cellStyle name="Normal 8 5 4 3" xfId="5698" xr:uid="{00000000-0005-0000-0000-00003B1E0000}"/>
    <cellStyle name="Normal 8 5 4 3 2" xfId="22633" xr:uid="{4EBA78CD-84A0-4134-A5D5-C03BCD0DB35B}"/>
    <cellStyle name="Normal 8 5 4 3 3" xfId="14192" xr:uid="{AFD02AE6-D664-47A5-A31B-06650B963ED5}"/>
    <cellStyle name="Normal 8 5 4 4" xfId="18415" xr:uid="{4C06D1A6-C43D-480A-90CB-16253BB09D63}"/>
    <cellStyle name="Normal 8 5 4 5" xfId="9941" xr:uid="{830AB613-9BC4-41C0-9DE9-B6F8032B35CA}"/>
    <cellStyle name="Normal 8 5 5" xfId="1804" xr:uid="{00000000-0005-0000-0000-00003C1E0000}"/>
    <cellStyle name="Normal 8 5 5 2" xfId="4034" xr:uid="{00000000-0005-0000-0000-00003D1E0000}"/>
    <cellStyle name="Normal 8 5 5 2 2" xfId="8256" xr:uid="{00000000-0005-0000-0000-00003E1E0000}"/>
    <cellStyle name="Normal 8 5 5 2 2 2" xfId="25191" xr:uid="{74688656-6BC6-47A8-96BD-4391617E5169}"/>
    <cellStyle name="Normal 8 5 5 2 2 3" xfId="16750" xr:uid="{694E3C24-0890-4AF8-A0F3-A2F9DC1367D3}"/>
    <cellStyle name="Normal 8 5 5 2 3" xfId="20973" xr:uid="{15073ADC-8D8E-4E18-8D63-CB1567F7B624}"/>
    <cellStyle name="Normal 8 5 5 2 4" xfId="12531" xr:uid="{906B931C-1FD2-475E-9486-91DD1882B925}"/>
    <cellStyle name="Normal 8 5 5 3" xfId="6111" xr:uid="{00000000-0005-0000-0000-00003F1E0000}"/>
    <cellStyle name="Normal 8 5 5 3 2" xfId="23046" xr:uid="{12B0BF3B-759B-45E8-BD89-2401D496CC30}"/>
    <cellStyle name="Normal 8 5 5 3 3" xfId="14605" xr:uid="{690759D1-33DA-49AD-8663-99FFB2608628}"/>
    <cellStyle name="Normal 8 5 5 4" xfId="18828" xr:uid="{EA6C0AA6-E6BF-43CB-AF67-09758C4159D1}"/>
    <cellStyle name="Normal 8 5 5 5" xfId="10354" xr:uid="{0867E24D-892C-4E93-AE54-66184001E573}"/>
    <cellStyle name="Normal 8 5 6" xfId="2218" xr:uid="{00000000-0005-0000-0000-0000401E0000}"/>
    <cellStyle name="Normal 8 5 6 2" xfId="4447" xr:uid="{00000000-0005-0000-0000-0000411E0000}"/>
    <cellStyle name="Normal 8 5 6 2 2" xfId="8669" xr:uid="{00000000-0005-0000-0000-0000421E0000}"/>
    <cellStyle name="Normal 8 5 6 2 2 2" xfId="25604" xr:uid="{67ACB924-2254-4546-ABFA-0142E96C9C92}"/>
    <cellStyle name="Normal 8 5 6 2 2 3" xfId="17163" xr:uid="{48FA26C5-B24D-4CC0-B9D9-F32BBBB058E1}"/>
    <cellStyle name="Normal 8 5 6 2 3" xfId="21386" xr:uid="{48637819-50DE-483A-8675-68E6A556196E}"/>
    <cellStyle name="Normal 8 5 6 2 4" xfId="12944" xr:uid="{2E6570ED-F4B7-4BAD-A1E7-3C78688D02AA}"/>
    <cellStyle name="Normal 8 5 6 3" xfId="6524" xr:uid="{00000000-0005-0000-0000-0000431E0000}"/>
    <cellStyle name="Normal 8 5 6 3 2" xfId="23459" xr:uid="{29D2F3DC-873A-4560-A48A-4A326BAD1435}"/>
    <cellStyle name="Normal 8 5 6 3 3" xfId="15018" xr:uid="{DC7FC7BD-BF34-4CBD-94C7-AE44DD5BCA14}"/>
    <cellStyle name="Normal 8 5 6 4" xfId="19241" xr:uid="{4B52A705-59E3-4897-B788-1DB3267B5B54}"/>
    <cellStyle name="Normal 8 5 6 5" xfId="10767" xr:uid="{B5BBA179-9849-4EF3-91AF-BD906C0071C2}"/>
    <cellStyle name="Normal 8 5 7" xfId="2654" xr:uid="{00000000-0005-0000-0000-0000441E0000}"/>
    <cellStyle name="Normal 8 5 7 2" xfId="6937" xr:uid="{00000000-0005-0000-0000-0000451E0000}"/>
    <cellStyle name="Normal 8 5 7 2 2" xfId="23872" xr:uid="{3131A5EB-CB04-4EBC-9859-BF9FF300DAF5}"/>
    <cellStyle name="Normal 8 5 7 2 3" xfId="15431" xr:uid="{BDB342E9-E9AD-4B05-99E9-79347320AF5B}"/>
    <cellStyle name="Normal 8 5 7 3" xfId="19654" xr:uid="{AD19A948-505B-465B-B461-9187057C1EE7}"/>
    <cellStyle name="Normal 8 5 7 4" xfId="11202" xr:uid="{5EC08CBE-C439-407A-89BD-47003B3FF438}"/>
    <cellStyle name="Normal 8 5 8" xfId="4872" xr:uid="{00000000-0005-0000-0000-0000461E0000}"/>
    <cellStyle name="Normal 8 5 8 2" xfId="21807" xr:uid="{7B921871-A960-4539-BCF9-2E24BEE5D9F7}"/>
    <cellStyle name="Normal 8 5 8 3" xfId="13366" xr:uid="{EAA65877-8D5E-49CB-BE1A-01C4121111BF}"/>
    <cellStyle name="Normal 8 5 9" xfId="17589" xr:uid="{E7E2100C-2C41-4269-91CA-40A143BFA996}"/>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4367" xr:uid="{ECE292E6-6FB9-4A7C-9C5B-45FD860D9E0B}"/>
    <cellStyle name="Normal 8 6 2 2 2 3" xfId="15926" xr:uid="{26150D8A-7697-4999-A223-9A8581CD6993}"/>
    <cellStyle name="Normal 8 6 2 2 3" xfId="20149" xr:uid="{12E689C8-9F3B-4D20-88AB-6BE989564E49}"/>
    <cellStyle name="Normal 8 6 2 2 4" xfId="11707" xr:uid="{433496A2-1C0C-4A88-A579-0AFCF5E98EBB}"/>
    <cellStyle name="Normal 8 6 2 3" xfId="5287" xr:uid="{00000000-0005-0000-0000-00004B1E0000}"/>
    <cellStyle name="Normal 8 6 2 3 2" xfId="22222" xr:uid="{A9F1DE27-7391-4ADB-BC1C-7663762A61EA}"/>
    <cellStyle name="Normal 8 6 2 3 3" xfId="13781" xr:uid="{8120EA9A-D475-4BCB-8A2F-265A7612AB87}"/>
    <cellStyle name="Normal 8 6 2 4" xfId="18004" xr:uid="{2F42BA9D-3902-406C-A161-4F975C1AAF52}"/>
    <cellStyle name="Normal 8 6 2 5" xfId="9530" xr:uid="{52174493-360A-4CCD-9522-3D9CF511A9CB}"/>
    <cellStyle name="Normal 8 6 3" xfId="1393" xr:uid="{00000000-0005-0000-0000-00004C1E0000}"/>
    <cellStyle name="Normal 8 6 3 2" xfId="3623" xr:uid="{00000000-0005-0000-0000-00004D1E0000}"/>
    <cellStyle name="Normal 8 6 3 2 2" xfId="7845" xr:uid="{00000000-0005-0000-0000-00004E1E0000}"/>
    <cellStyle name="Normal 8 6 3 2 2 2" xfId="24780" xr:uid="{E1F472D9-15A8-45FF-B7BE-04F213BA37F5}"/>
    <cellStyle name="Normal 8 6 3 2 2 3" xfId="16339" xr:uid="{9BB6DFE1-1E3E-4F59-955A-E63B30485A5A}"/>
    <cellStyle name="Normal 8 6 3 2 3" xfId="20562" xr:uid="{87BC53D9-FA49-45C8-A1E6-CF68839D9530}"/>
    <cellStyle name="Normal 8 6 3 2 4" xfId="12120" xr:uid="{28CCB17C-D15C-47CE-A4F1-AA7053FB78B3}"/>
    <cellStyle name="Normal 8 6 3 3" xfId="5700" xr:uid="{00000000-0005-0000-0000-00004F1E0000}"/>
    <cellStyle name="Normal 8 6 3 3 2" xfId="22635" xr:uid="{974DD991-369B-4DAB-8C52-31FF865CDE44}"/>
    <cellStyle name="Normal 8 6 3 3 3" xfId="14194" xr:uid="{704F7A5C-D709-407F-BD47-6ABAF25D8208}"/>
    <cellStyle name="Normal 8 6 3 4" xfId="18417" xr:uid="{FBE92C05-C19E-4C1D-BFA9-9D266EB370ED}"/>
    <cellStyle name="Normal 8 6 3 5" xfId="9943" xr:uid="{A4E681E2-7D3C-49D8-B351-C648D06C695C}"/>
    <cellStyle name="Normal 8 6 4" xfId="1806" xr:uid="{00000000-0005-0000-0000-0000501E0000}"/>
    <cellStyle name="Normal 8 6 4 2" xfId="4036" xr:uid="{00000000-0005-0000-0000-0000511E0000}"/>
    <cellStyle name="Normal 8 6 4 2 2" xfId="8258" xr:uid="{00000000-0005-0000-0000-0000521E0000}"/>
    <cellStyle name="Normal 8 6 4 2 2 2" xfId="25193" xr:uid="{F54FF434-AE22-4D08-BB7A-C6822DCD98B7}"/>
    <cellStyle name="Normal 8 6 4 2 2 3" xfId="16752" xr:uid="{ECD827E6-8C2E-4388-B848-51FF20331340}"/>
    <cellStyle name="Normal 8 6 4 2 3" xfId="20975" xr:uid="{3F3D8417-C1B3-4CDE-B403-B0AD1F82C0BE}"/>
    <cellStyle name="Normal 8 6 4 2 4" xfId="12533" xr:uid="{F14D8847-E04F-4FBA-9FA8-934584C47254}"/>
    <cellStyle name="Normal 8 6 4 3" xfId="6113" xr:uid="{00000000-0005-0000-0000-0000531E0000}"/>
    <cellStyle name="Normal 8 6 4 3 2" xfId="23048" xr:uid="{683AB22E-E41A-4B96-A511-BAA90E8A72B3}"/>
    <cellStyle name="Normal 8 6 4 3 3" xfId="14607" xr:uid="{040DD792-7549-4B8D-9369-82215687F7B7}"/>
    <cellStyle name="Normal 8 6 4 4" xfId="18830" xr:uid="{91EC3C74-4E6B-478B-9FCB-D76D9C72AEEA}"/>
    <cellStyle name="Normal 8 6 4 5" xfId="10356" xr:uid="{419B9A99-20E3-43BB-98E9-2CAACF95F88D}"/>
    <cellStyle name="Normal 8 6 5" xfId="2220" xr:uid="{00000000-0005-0000-0000-0000541E0000}"/>
    <cellStyle name="Normal 8 6 5 2" xfId="4449" xr:uid="{00000000-0005-0000-0000-0000551E0000}"/>
    <cellStyle name="Normal 8 6 5 2 2" xfId="8671" xr:uid="{00000000-0005-0000-0000-0000561E0000}"/>
    <cellStyle name="Normal 8 6 5 2 2 2" xfId="25606" xr:uid="{093A5A7A-2130-422D-A85A-AAD02EB3DB04}"/>
    <cellStyle name="Normal 8 6 5 2 2 3" xfId="17165" xr:uid="{B08572E2-3AFE-4A12-BF36-F1275AEF2355}"/>
    <cellStyle name="Normal 8 6 5 2 3" xfId="21388" xr:uid="{E588E7DA-A49C-4539-934A-EC369CD5322D}"/>
    <cellStyle name="Normal 8 6 5 2 4" xfId="12946" xr:uid="{FBDD076B-73E0-4998-8FDE-E379FF473C5C}"/>
    <cellStyle name="Normal 8 6 5 3" xfId="6526" xr:uid="{00000000-0005-0000-0000-0000571E0000}"/>
    <cellStyle name="Normal 8 6 5 3 2" xfId="23461" xr:uid="{77418480-B5BA-4CA9-BEF0-7C61419A2EBC}"/>
    <cellStyle name="Normal 8 6 5 3 3" xfId="15020" xr:uid="{20990F75-7FF8-4CC3-8847-F706020B236A}"/>
    <cellStyle name="Normal 8 6 5 4" xfId="19243" xr:uid="{6F3CBFA9-744D-40A2-B38B-9485AE5A2B94}"/>
    <cellStyle name="Normal 8 6 5 5" xfId="10769" xr:uid="{E0D25767-5E64-46D4-BADD-C039E81FBD07}"/>
    <cellStyle name="Normal 8 6 6" xfId="2656" xr:uid="{00000000-0005-0000-0000-0000581E0000}"/>
    <cellStyle name="Normal 8 6 6 2" xfId="6939" xr:uid="{00000000-0005-0000-0000-0000591E0000}"/>
    <cellStyle name="Normal 8 6 6 2 2" xfId="23874" xr:uid="{49EF9B54-C57D-414B-A62E-FA36DADB4619}"/>
    <cellStyle name="Normal 8 6 6 2 3" xfId="15433" xr:uid="{958167AE-2E01-4123-8C6A-562F10EF65A9}"/>
    <cellStyle name="Normal 8 6 6 3" xfId="19656" xr:uid="{126EAB31-2053-4F2B-BE8D-B49A03D969D2}"/>
    <cellStyle name="Normal 8 6 6 4" xfId="11204" xr:uid="{A7C51859-0929-4850-8085-295220C243AD}"/>
    <cellStyle name="Normal 8 6 7" xfId="4874" xr:uid="{00000000-0005-0000-0000-00005A1E0000}"/>
    <cellStyle name="Normal 8 6 7 2" xfId="21809" xr:uid="{89AC3701-6394-4804-8DF4-BFFFA9BD78EA}"/>
    <cellStyle name="Normal 8 6 7 3" xfId="13368" xr:uid="{5AA87516-F38B-406D-80E4-9CCA2456F2E9}"/>
    <cellStyle name="Normal 8 6 8" xfId="17591" xr:uid="{E681105A-615C-4928-8DEA-4C0B0D5729D8}"/>
    <cellStyle name="Normal 8 6 9" xfId="9116" xr:uid="{98250729-E66F-4A9D-A415-6EFA67A25438}"/>
    <cellStyle name="Normal 8 7" xfId="945" xr:uid="{00000000-0005-0000-0000-00005B1E0000}"/>
    <cellStyle name="Normal 8 7 2" xfId="3179" xr:uid="{00000000-0005-0000-0000-00005C1E0000}"/>
    <cellStyle name="Normal 8 7 2 2" xfId="7401" xr:uid="{00000000-0005-0000-0000-00005D1E0000}"/>
    <cellStyle name="Normal 8 7 2 2 2" xfId="24336" xr:uid="{FBB06F9E-C297-4A78-9BDF-87A2B6ED6A15}"/>
    <cellStyle name="Normal 8 7 2 2 3" xfId="15895" xr:uid="{9AC75D6E-9007-4ACD-81C1-9713193A9812}"/>
    <cellStyle name="Normal 8 7 2 3" xfId="20118" xr:uid="{F92B8C78-D487-45DD-AA19-A816EEA7AE24}"/>
    <cellStyle name="Normal 8 7 2 4" xfId="11676" xr:uid="{6D0CD69D-7B47-40F7-8B0E-CF9574942F54}"/>
    <cellStyle name="Normal 8 7 3" xfId="5256" xr:uid="{00000000-0005-0000-0000-00005E1E0000}"/>
    <cellStyle name="Normal 8 7 3 2" xfId="22191" xr:uid="{E6415D7B-5B45-4810-9F81-0A5CFAAEA860}"/>
    <cellStyle name="Normal 8 7 3 3" xfId="13750" xr:uid="{9A02B83E-F4A4-4BB5-8D2A-751E32B0488C}"/>
    <cellStyle name="Normal 8 7 4" xfId="17973" xr:uid="{E9B48F79-AE61-4D39-BC22-132DA7239465}"/>
    <cellStyle name="Normal 8 7 5" xfId="9499" xr:uid="{FD13DD9A-0517-423D-BDBC-78B54F28F092}"/>
    <cellStyle name="Normal 8 8" xfId="1362" xr:uid="{00000000-0005-0000-0000-00005F1E0000}"/>
    <cellStyle name="Normal 8 8 2" xfId="3592" xr:uid="{00000000-0005-0000-0000-0000601E0000}"/>
    <cellStyle name="Normal 8 8 2 2" xfId="7814" xr:uid="{00000000-0005-0000-0000-0000611E0000}"/>
    <cellStyle name="Normal 8 8 2 2 2" xfId="24749" xr:uid="{AC61E270-136B-42D6-BDDD-7ED2F8E6427A}"/>
    <cellStyle name="Normal 8 8 2 2 3" xfId="16308" xr:uid="{D871488D-DFA3-4F92-BAC0-BC51DE12B76E}"/>
    <cellStyle name="Normal 8 8 2 3" xfId="20531" xr:uid="{A04E0871-3FFB-4294-83E8-438784BF9EF6}"/>
    <cellStyle name="Normal 8 8 2 4" xfId="12089" xr:uid="{CE04DE00-309C-4D36-A3A1-8FE6C1253678}"/>
    <cellStyle name="Normal 8 8 3" xfId="5669" xr:uid="{00000000-0005-0000-0000-0000621E0000}"/>
    <cellStyle name="Normal 8 8 3 2" xfId="22604" xr:uid="{6B37FC67-FB01-4705-993C-ED6E47034C8A}"/>
    <cellStyle name="Normal 8 8 3 3" xfId="14163" xr:uid="{D1263A9F-5B40-4AD3-92B0-94A7E815616E}"/>
    <cellStyle name="Normal 8 8 4" xfId="18386" xr:uid="{AB532214-1D46-40A7-9F27-E6820F4C6084}"/>
    <cellStyle name="Normal 8 8 5" xfId="9912" xr:uid="{9D4C9058-9C0D-409B-A79B-72153483117E}"/>
    <cellStyle name="Normal 8 9" xfId="1775" xr:uid="{00000000-0005-0000-0000-0000631E0000}"/>
    <cellStyle name="Normal 8 9 2" xfId="4005" xr:uid="{00000000-0005-0000-0000-0000641E0000}"/>
    <cellStyle name="Normal 8 9 2 2" xfId="8227" xr:uid="{00000000-0005-0000-0000-0000651E0000}"/>
    <cellStyle name="Normal 8 9 2 2 2" xfId="25162" xr:uid="{7BAB700E-478C-4E7D-B832-E7B3F6CB48DE}"/>
    <cellStyle name="Normal 8 9 2 2 3" xfId="16721" xr:uid="{ADA519AE-3093-4350-9E3C-AE37648F83BA}"/>
    <cellStyle name="Normal 8 9 2 3" xfId="20944" xr:uid="{AE756302-B404-44FB-B302-F232A5042A86}"/>
    <cellStyle name="Normal 8 9 2 4" xfId="12502" xr:uid="{BB1C6515-1A54-4E98-8F8A-268B13EA1221}"/>
    <cellStyle name="Normal 8 9 3" xfId="6082" xr:uid="{00000000-0005-0000-0000-0000661E0000}"/>
    <cellStyle name="Normal 8 9 3 2" xfId="23017" xr:uid="{296A225B-04CB-43DD-A2FA-2FD8A2BEBD0F}"/>
    <cellStyle name="Normal 8 9 3 3" xfId="14576" xr:uid="{63B965DC-73FA-45EB-B874-3981A918B8F2}"/>
    <cellStyle name="Normal 8 9 4" xfId="18799" xr:uid="{53A1C143-6BC4-41F4-A58F-2A7174AF52A8}"/>
    <cellStyle name="Normal 8 9 5" xfId="10325" xr:uid="{998BCEBB-A008-4EC2-9079-C8D6713A07E8}"/>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3875" xr:uid="{44E6FA75-A12B-4DB0-B7BD-CE56F4C3BA6E}"/>
    <cellStyle name="Normal 9 2 10 2 3" xfId="15434" xr:uid="{0E497B4A-951E-489A-9578-D1EBC0A8771A}"/>
    <cellStyle name="Normal 9 2 10 3" xfId="19657" xr:uid="{F7D92265-679B-4365-A38C-593CC8D5C468}"/>
    <cellStyle name="Normal 9 2 10 4" xfId="11205" xr:uid="{AD67EBDD-3C92-4E7F-B36F-D607ACB08B71}"/>
    <cellStyle name="Normal 9 2 11" xfId="4875" xr:uid="{00000000-0005-0000-0000-00006B1E0000}"/>
    <cellStyle name="Normal 9 2 11 2" xfId="21810" xr:uid="{92140446-1CA6-43BE-A448-FCF795B33F3B}"/>
    <cellStyle name="Normal 9 2 11 3" xfId="13369" xr:uid="{FF5D172D-42E0-41B0-BEF3-EB9E0CB49FFD}"/>
    <cellStyle name="Normal 9 2 12" xfId="17592" xr:uid="{2BAABCA2-B4F0-4082-8FD2-5CEAFCB492DE}"/>
    <cellStyle name="Normal 9 2 13" xfId="9117" xr:uid="{572E46D0-4F8C-4D9A-920E-145391B514E5}"/>
    <cellStyle name="Normal 9 2 2" xfId="512" xr:uid="{00000000-0005-0000-0000-00006C1E0000}"/>
    <cellStyle name="Normal 9 2 2 10" xfId="4876" xr:uid="{00000000-0005-0000-0000-00006D1E0000}"/>
    <cellStyle name="Normal 9 2 2 10 2" xfId="21811" xr:uid="{1C151200-D80A-407E-95B7-48DAD61C12CF}"/>
    <cellStyle name="Normal 9 2 2 10 3" xfId="13370" xr:uid="{9D7EF91E-40AE-4391-9936-E4275AFDEB05}"/>
    <cellStyle name="Normal 9 2 2 11" xfId="17593" xr:uid="{56E938A4-B2EF-4B99-A4A2-A36A0141E2CC}"/>
    <cellStyle name="Normal 9 2 2 12" xfId="9118" xr:uid="{876CFDC0-43CE-419E-8B55-CA9B40E7F609}"/>
    <cellStyle name="Normal 9 2 2 2" xfId="513" xr:uid="{00000000-0005-0000-0000-00006E1E0000}"/>
    <cellStyle name="Normal 9 2 2 2 10" xfId="17594" xr:uid="{C111AA73-3F8D-4CE6-B6BC-EB7FD93BB79B}"/>
    <cellStyle name="Normal 9 2 2 2 11" xfId="9119" xr:uid="{030FE58F-64B8-4A14-963E-58ADD66A3DA5}"/>
    <cellStyle name="Normal 9 2 2 2 2" xfId="514" xr:uid="{00000000-0005-0000-0000-00006F1E0000}"/>
    <cellStyle name="Normal 9 2 2 2 2 10" xfId="9120" xr:uid="{AC986E07-054A-47A3-B36F-C8A6C77B4E37}"/>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4372" xr:uid="{DFC228BE-9816-4792-8ACC-E33FF7F622B0}"/>
    <cellStyle name="Normal 9 2 2 2 2 2 2 2 2 3" xfId="15931" xr:uid="{0CC2D6B9-5E9A-4FAE-BCBF-DF8FE21BB7AC}"/>
    <cellStyle name="Normal 9 2 2 2 2 2 2 2 3" xfId="20154" xr:uid="{78008090-B014-41FF-90FC-97DD45956A84}"/>
    <cellStyle name="Normal 9 2 2 2 2 2 2 2 4" xfId="11712" xr:uid="{9151C536-444F-468F-9B0B-F11B4014D117}"/>
    <cellStyle name="Normal 9 2 2 2 2 2 2 3" xfId="5292" xr:uid="{00000000-0005-0000-0000-0000741E0000}"/>
    <cellStyle name="Normal 9 2 2 2 2 2 2 3 2" xfId="22227" xr:uid="{0224AB1C-03B4-4422-88C5-718AECD30970}"/>
    <cellStyle name="Normal 9 2 2 2 2 2 2 3 3" xfId="13786" xr:uid="{682300E7-E9BD-4391-B3F1-4D9CAC194779}"/>
    <cellStyle name="Normal 9 2 2 2 2 2 2 4" xfId="18009" xr:uid="{E8D720B9-DFB8-4A22-A4A4-1FCB9A460B41}"/>
    <cellStyle name="Normal 9 2 2 2 2 2 2 5" xfId="9535" xr:uid="{CE1E25F1-465C-4F2D-98C8-B014813CFDEF}"/>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4785" xr:uid="{7644C1AB-A423-4815-BDC4-D1075DB7A324}"/>
    <cellStyle name="Normal 9 2 2 2 2 2 3 2 2 3" xfId="16344" xr:uid="{228B92F0-DFAB-47B4-A860-789A51C89717}"/>
    <cellStyle name="Normal 9 2 2 2 2 2 3 2 3" xfId="20567" xr:uid="{9519E17C-0A14-4303-916A-9B5B2ACC838B}"/>
    <cellStyle name="Normal 9 2 2 2 2 2 3 2 4" xfId="12125" xr:uid="{A5F3179B-37E2-49BD-94E2-1B47DE73B518}"/>
    <cellStyle name="Normal 9 2 2 2 2 2 3 3" xfId="5705" xr:uid="{00000000-0005-0000-0000-0000781E0000}"/>
    <cellStyle name="Normal 9 2 2 2 2 2 3 3 2" xfId="22640" xr:uid="{B97F3096-FB05-40F8-BF32-E78B222D2955}"/>
    <cellStyle name="Normal 9 2 2 2 2 2 3 3 3" xfId="14199" xr:uid="{0D2D1578-F1DE-4255-A27A-A3D156472A8C}"/>
    <cellStyle name="Normal 9 2 2 2 2 2 3 4" xfId="18422" xr:uid="{6E9E370C-92C8-4FFB-BAD0-BCE7EB1CEA4B}"/>
    <cellStyle name="Normal 9 2 2 2 2 2 3 5" xfId="9948" xr:uid="{5D62E731-C44F-4A7F-AC3F-B9710A470384}"/>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5198" xr:uid="{AF2BE2EE-02FF-4D5D-B74F-6C3A094C170D}"/>
    <cellStyle name="Normal 9 2 2 2 2 2 4 2 2 3" xfId="16757" xr:uid="{70A99CBE-B358-4990-8391-569963C1A588}"/>
    <cellStyle name="Normal 9 2 2 2 2 2 4 2 3" xfId="20980" xr:uid="{455EFFB7-F0C8-4A9A-9FF1-8E391B1BB678}"/>
    <cellStyle name="Normal 9 2 2 2 2 2 4 2 4" xfId="12538" xr:uid="{CBD6A7FC-C15C-4238-8BB5-1BA3E5ADE2BC}"/>
    <cellStyle name="Normal 9 2 2 2 2 2 4 3" xfId="6118" xr:uid="{00000000-0005-0000-0000-00007C1E0000}"/>
    <cellStyle name="Normal 9 2 2 2 2 2 4 3 2" xfId="23053" xr:uid="{6AFE08E7-FC92-4321-A279-9E383C050FA6}"/>
    <cellStyle name="Normal 9 2 2 2 2 2 4 3 3" xfId="14612" xr:uid="{F3F535B2-B92D-4394-93A9-834D8E41D406}"/>
    <cellStyle name="Normal 9 2 2 2 2 2 4 4" xfId="18835" xr:uid="{203A0106-B571-4E7C-BC8C-73C2F28050C0}"/>
    <cellStyle name="Normal 9 2 2 2 2 2 4 5" xfId="10361" xr:uid="{22024699-208D-492D-B3A5-7A80042E74A6}"/>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5611" xr:uid="{DC3E0141-753B-4749-B5C4-5FC1EB555D79}"/>
    <cellStyle name="Normal 9 2 2 2 2 2 5 2 2 3" xfId="17170" xr:uid="{391BC410-CDDA-405C-8873-7F8FED359046}"/>
    <cellStyle name="Normal 9 2 2 2 2 2 5 2 3" xfId="21393" xr:uid="{CA07FE34-B14E-4CF4-8D2C-01B32173A078}"/>
    <cellStyle name="Normal 9 2 2 2 2 2 5 2 4" xfId="12951" xr:uid="{8347A0B4-8A45-4C34-8E65-D0B56D6FA010}"/>
    <cellStyle name="Normal 9 2 2 2 2 2 5 3" xfId="6531" xr:uid="{00000000-0005-0000-0000-0000801E0000}"/>
    <cellStyle name="Normal 9 2 2 2 2 2 5 3 2" xfId="23466" xr:uid="{B956FAFF-55FB-48DC-BEC9-788F3F64A561}"/>
    <cellStyle name="Normal 9 2 2 2 2 2 5 3 3" xfId="15025" xr:uid="{9A33146C-AC7D-4AA6-BCE2-EC5A6E83CD3D}"/>
    <cellStyle name="Normal 9 2 2 2 2 2 5 4" xfId="19248" xr:uid="{AE459263-EB0E-41D5-A567-30C5AE1D0F36}"/>
    <cellStyle name="Normal 9 2 2 2 2 2 5 5" xfId="10774" xr:uid="{76E4FB9F-E23B-4BB0-82BE-FF07E9585774}"/>
    <cellStyle name="Normal 9 2 2 2 2 2 6" xfId="2661" xr:uid="{00000000-0005-0000-0000-0000811E0000}"/>
    <cellStyle name="Normal 9 2 2 2 2 2 6 2" xfId="6944" xr:uid="{00000000-0005-0000-0000-0000821E0000}"/>
    <cellStyle name="Normal 9 2 2 2 2 2 6 2 2" xfId="23879" xr:uid="{7AAD6B40-9430-4B42-A811-898296936455}"/>
    <cellStyle name="Normal 9 2 2 2 2 2 6 2 3" xfId="15438" xr:uid="{8AB7C014-5962-47A7-95A6-931F37D7E472}"/>
    <cellStyle name="Normal 9 2 2 2 2 2 6 3" xfId="19661" xr:uid="{91120FA4-0EB9-4710-87F4-CE5683251286}"/>
    <cellStyle name="Normal 9 2 2 2 2 2 6 4" xfId="11209" xr:uid="{F06E90CE-5876-4ECC-A77A-5F23725A7AD1}"/>
    <cellStyle name="Normal 9 2 2 2 2 2 7" xfId="4879" xr:uid="{00000000-0005-0000-0000-0000831E0000}"/>
    <cellStyle name="Normal 9 2 2 2 2 2 7 2" xfId="21814" xr:uid="{D643D025-708F-4E23-A488-E4FF426F8DDB}"/>
    <cellStyle name="Normal 9 2 2 2 2 2 7 3" xfId="13373" xr:uid="{E8BB055D-DABA-40D3-8203-B8014EA14FFD}"/>
    <cellStyle name="Normal 9 2 2 2 2 2 8" xfId="17596" xr:uid="{A0090736-92F4-49FB-9AE3-3693A3FD1334}"/>
    <cellStyle name="Normal 9 2 2 2 2 2 9" xfId="9121" xr:uid="{F7E1887D-B670-4A1A-B9C8-7F308CA14EF8}"/>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4371" xr:uid="{94DEEFF9-A436-491C-AC14-EA98CF9318F2}"/>
    <cellStyle name="Normal 9 2 2 2 2 3 2 2 3" xfId="15930" xr:uid="{EDDEF0DC-FEFF-459A-9E6C-7D783F0A03F5}"/>
    <cellStyle name="Normal 9 2 2 2 2 3 2 3" xfId="20153" xr:uid="{27C908FE-67DA-4E81-9685-4EB5AA7E51B5}"/>
    <cellStyle name="Normal 9 2 2 2 2 3 2 4" xfId="11711" xr:uid="{AF9EFC52-347C-488F-AFA2-97C09E14EE94}"/>
    <cellStyle name="Normal 9 2 2 2 2 3 3" xfId="5291" xr:uid="{00000000-0005-0000-0000-0000871E0000}"/>
    <cellStyle name="Normal 9 2 2 2 2 3 3 2" xfId="22226" xr:uid="{DB2AB17D-B44D-48CE-9AC6-3AED50955A07}"/>
    <cellStyle name="Normal 9 2 2 2 2 3 3 3" xfId="13785" xr:uid="{E081D8F7-E39E-4132-841E-FD12834B8F2A}"/>
    <cellStyle name="Normal 9 2 2 2 2 3 4" xfId="18008" xr:uid="{F0235D59-B193-4381-A38A-61EC05110659}"/>
    <cellStyle name="Normal 9 2 2 2 2 3 5" xfId="9534" xr:uid="{9F8038A0-9BE0-4972-8858-5F4BBDB15541}"/>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4784" xr:uid="{13FE6F66-000A-4C2C-8C80-EA193D360157}"/>
    <cellStyle name="Normal 9 2 2 2 2 4 2 2 3" xfId="16343" xr:uid="{BE097FBE-038A-494A-95F9-4FD2A45B5249}"/>
    <cellStyle name="Normal 9 2 2 2 2 4 2 3" xfId="20566" xr:uid="{1E30FEA1-BB81-4CDF-B786-673ACD47F08D}"/>
    <cellStyle name="Normal 9 2 2 2 2 4 2 4" xfId="12124" xr:uid="{1F4602CD-5084-4E64-AA77-4AD1F95F1E0E}"/>
    <cellStyle name="Normal 9 2 2 2 2 4 3" xfId="5704" xr:uid="{00000000-0005-0000-0000-00008B1E0000}"/>
    <cellStyle name="Normal 9 2 2 2 2 4 3 2" xfId="22639" xr:uid="{7130B3A6-257B-4E92-845C-54380D80D482}"/>
    <cellStyle name="Normal 9 2 2 2 2 4 3 3" xfId="14198" xr:uid="{1C0BFD6B-076E-4690-B590-20E569355B5B}"/>
    <cellStyle name="Normal 9 2 2 2 2 4 4" xfId="18421" xr:uid="{EF0179BD-A6E7-4186-A655-85F81B355093}"/>
    <cellStyle name="Normal 9 2 2 2 2 4 5" xfId="9947" xr:uid="{99487376-BD39-4CB1-ACF5-668EE0523D32}"/>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5197" xr:uid="{C0B8FA60-31A2-44E8-A760-ED991AD33044}"/>
    <cellStyle name="Normal 9 2 2 2 2 5 2 2 3" xfId="16756" xr:uid="{99E86D9F-B85B-4EEC-9029-6DE27199735D}"/>
    <cellStyle name="Normal 9 2 2 2 2 5 2 3" xfId="20979" xr:uid="{BD544664-C478-46CE-9737-B9BEAC8FD6C7}"/>
    <cellStyle name="Normal 9 2 2 2 2 5 2 4" xfId="12537" xr:uid="{3C57E03B-D70E-4884-9EFC-B33375597929}"/>
    <cellStyle name="Normal 9 2 2 2 2 5 3" xfId="6117" xr:uid="{00000000-0005-0000-0000-00008F1E0000}"/>
    <cellStyle name="Normal 9 2 2 2 2 5 3 2" xfId="23052" xr:uid="{58D49510-A8F4-42F4-87D9-4A5C3269F4A5}"/>
    <cellStyle name="Normal 9 2 2 2 2 5 3 3" xfId="14611" xr:uid="{F704ADD8-474A-44EA-A470-7348F8D7881A}"/>
    <cellStyle name="Normal 9 2 2 2 2 5 4" xfId="18834" xr:uid="{FC11B107-02A5-4090-9CAA-519F0FB1D19D}"/>
    <cellStyle name="Normal 9 2 2 2 2 5 5" xfId="10360" xr:uid="{CDD2DAB3-48B2-4F6F-B51C-3C6687D98CD4}"/>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5610" xr:uid="{CF25B5FD-65E3-49C9-9109-AA677C09E939}"/>
    <cellStyle name="Normal 9 2 2 2 2 6 2 2 3" xfId="17169" xr:uid="{29AA7CE6-BD72-40F0-9218-96667BC4E36C}"/>
    <cellStyle name="Normal 9 2 2 2 2 6 2 3" xfId="21392" xr:uid="{17A84F86-7956-49AF-B56C-91D6E0BD4395}"/>
    <cellStyle name="Normal 9 2 2 2 2 6 2 4" xfId="12950" xr:uid="{B75F0F46-74F2-4FC1-B6B1-6D1A60EE29F6}"/>
    <cellStyle name="Normal 9 2 2 2 2 6 3" xfId="6530" xr:uid="{00000000-0005-0000-0000-0000931E0000}"/>
    <cellStyle name="Normal 9 2 2 2 2 6 3 2" xfId="23465" xr:uid="{DBB11226-AF51-40CA-992B-641B49879784}"/>
    <cellStyle name="Normal 9 2 2 2 2 6 3 3" xfId="15024" xr:uid="{6C8C41F9-ECAB-4920-B7C4-4F79383D311D}"/>
    <cellStyle name="Normal 9 2 2 2 2 6 4" xfId="19247" xr:uid="{C887093F-7111-4D46-BC11-98C094B21962}"/>
    <cellStyle name="Normal 9 2 2 2 2 6 5" xfId="10773" xr:uid="{FF022AF1-12B4-42EC-9FA5-F4B10194727A}"/>
    <cellStyle name="Normal 9 2 2 2 2 7" xfId="2660" xr:uid="{00000000-0005-0000-0000-0000941E0000}"/>
    <cellStyle name="Normal 9 2 2 2 2 7 2" xfId="6943" xr:uid="{00000000-0005-0000-0000-0000951E0000}"/>
    <cellStyle name="Normal 9 2 2 2 2 7 2 2" xfId="23878" xr:uid="{A4770157-DDD6-47A0-A9F9-B47148B95328}"/>
    <cellStyle name="Normal 9 2 2 2 2 7 2 3" xfId="15437" xr:uid="{415C4918-1F2F-4D5A-AA05-15D404B44925}"/>
    <cellStyle name="Normal 9 2 2 2 2 7 3" xfId="19660" xr:uid="{92D6220A-E98E-4C0F-A8CF-676760E0D29A}"/>
    <cellStyle name="Normal 9 2 2 2 2 7 4" xfId="11208" xr:uid="{2D997D8E-7203-48D0-A8FD-58586533C65C}"/>
    <cellStyle name="Normal 9 2 2 2 2 8" xfId="4878" xr:uid="{00000000-0005-0000-0000-0000961E0000}"/>
    <cellStyle name="Normal 9 2 2 2 2 8 2" xfId="21813" xr:uid="{1DE5D5EF-D796-4B46-AA42-D8D183B37324}"/>
    <cellStyle name="Normal 9 2 2 2 2 8 3" xfId="13372" xr:uid="{ACBB0BFB-D5A1-484A-87CA-BB33C0573D80}"/>
    <cellStyle name="Normal 9 2 2 2 2 9" xfId="17595" xr:uid="{1D4A8FFE-F157-4D21-BE90-949FECCBBDC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4373" xr:uid="{6523AC3C-C6BE-455C-AC85-57F1ACF675E3}"/>
    <cellStyle name="Normal 9 2 2 2 3 2 2 2 3" xfId="15932" xr:uid="{B17396D3-BC13-4538-92A9-EA24B93AD826}"/>
    <cellStyle name="Normal 9 2 2 2 3 2 2 3" xfId="20155" xr:uid="{D98989EA-8B2A-4634-9C67-3FFA08F947B0}"/>
    <cellStyle name="Normal 9 2 2 2 3 2 2 4" xfId="11713" xr:uid="{A4860306-EAE8-4FC8-89C9-06A45269E61F}"/>
    <cellStyle name="Normal 9 2 2 2 3 2 3" xfId="5293" xr:uid="{00000000-0005-0000-0000-00009B1E0000}"/>
    <cellStyle name="Normal 9 2 2 2 3 2 3 2" xfId="22228" xr:uid="{00DED655-9F47-4218-BCA5-4145042BFB1A}"/>
    <cellStyle name="Normal 9 2 2 2 3 2 3 3" xfId="13787" xr:uid="{6FFE115A-EC96-41F7-8F31-B6F5F5C46C5F}"/>
    <cellStyle name="Normal 9 2 2 2 3 2 4" xfId="18010" xr:uid="{BE9C7A20-0B77-4E54-931C-072CDD7C39AA}"/>
    <cellStyle name="Normal 9 2 2 2 3 2 5" xfId="9536" xr:uid="{3B1E1E3A-67E0-463F-A095-8BC3897F88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4786" xr:uid="{F666B226-50A2-490B-9EF6-BF981221E401}"/>
    <cellStyle name="Normal 9 2 2 2 3 3 2 2 3" xfId="16345" xr:uid="{4FD430C7-C037-4BD2-99E9-D0EFC089BCF7}"/>
    <cellStyle name="Normal 9 2 2 2 3 3 2 3" xfId="20568" xr:uid="{B0F21081-7E7E-43C6-9F83-C96BF91B9EE6}"/>
    <cellStyle name="Normal 9 2 2 2 3 3 2 4" xfId="12126" xr:uid="{9626996F-B3C2-4434-8EBA-C2948D500ABE}"/>
    <cellStyle name="Normal 9 2 2 2 3 3 3" xfId="5706" xr:uid="{00000000-0005-0000-0000-00009F1E0000}"/>
    <cellStyle name="Normal 9 2 2 2 3 3 3 2" xfId="22641" xr:uid="{3BA2B1BC-E51A-4283-A374-0FEDDD61E977}"/>
    <cellStyle name="Normal 9 2 2 2 3 3 3 3" xfId="14200" xr:uid="{15811750-9285-4AB6-AA35-B161620BB590}"/>
    <cellStyle name="Normal 9 2 2 2 3 3 4" xfId="18423" xr:uid="{78FF0217-6A44-4AA7-A307-8685B2B4C8A7}"/>
    <cellStyle name="Normal 9 2 2 2 3 3 5" xfId="9949" xr:uid="{7A672138-44A0-4515-9704-C67C731A7AA5}"/>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5199" xr:uid="{F058B6F6-458E-4E71-AE39-A6BE183DA25B}"/>
    <cellStyle name="Normal 9 2 2 2 3 4 2 2 3" xfId="16758" xr:uid="{F90C125E-D146-4402-B42A-D06E09845245}"/>
    <cellStyle name="Normal 9 2 2 2 3 4 2 3" xfId="20981" xr:uid="{01CF014A-5EEF-44E5-983D-A98771AFD4C4}"/>
    <cellStyle name="Normal 9 2 2 2 3 4 2 4" xfId="12539" xr:uid="{5205A6A6-8108-499F-A72C-43A1A4F928B0}"/>
    <cellStyle name="Normal 9 2 2 2 3 4 3" xfId="6119" xr:uid="{00000000-0005-0000-0000-0000A31E0000}"/>
    <cellStyle name="Normal 9 2 2 2 3 4 3 2" xfId="23054" xr:uid="{BAB1329E-5271-4595-80AA-A90351729592}"/>
    <cellStyle name="Normal 9 2 2 2 3 4 3 3" xfId="14613" xr:uid="{6E196357-8B62-42F5-B7D5-26D3B3D620F2}"/>
    <cellStyle name="Normal 9 2 2 2 3 4 4" xfId="18836" xr:uid="{520A28FA-118A-4CAB-8A0C-01F210B6B751}"/>
    <cellStyle name="Normal 9 2 2 2 3 4 5" xfId="10362" xr:uid="{D232CBE2-47B7-45E6-8C4F-27222B703028}"/>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5612" xr:uid="{42FA423D-6516-44C1-94D9-997490DBFBAF}"/>
    <cellStyle name="Normal 9 2 2 2 3 5 2 2 3" xfId="17171" xr:uid="{BE80DB80-B269-4FB2-9D83-1A4B6776ACC1}"/>
    <cellStyle name="Normal 9 2 2 2 3 5 2 3" xfId="21394" xr:uid="{FD5E92C6-1545-4FD2-B6AF-84E4C7CD9260}"/>
    <cellStyle name="Normal 9 2 2 2 3 5 2 4" xfId="12952" xr:uid="{F5F9BEF9-A95F-47A8-A343-DDDDCDE071F0}"/>
    <cellStyle name="Normal 9 2 2 2 3 5 3" xfId="6532" xr:uid="{00000000-0005-0000-0000-0000A71E0000}"/>
    <cellStyle name="Normal 9 2 2 2 3 5 3 2" xfId="23467" xr:uid="{79DAA66F-E948-4F40-B293-7FA4A53FAF1C}"/>
    <cellStyle name="Normal 9 2 2 2 3 5 3 3" xfId="15026" xr:uid="{D96B5289-9C21-4A8C-BA1A-38F1D891010E}"/>
    <cellStyle name="Normal 9 2 2 2 3 5 4" xfId="19249" xr:uid="{A7C5924F-C4C0-49C0-BC07-E3572F3F04B0}"/>
    <cellStyle name="Normal 9 2 2 2 3 5 5" xfId="10775" xr:uid="{427C1DAD-04DE-4A92-B3B1-153ABC1AD392}"/>
    <cellStyle name="Normal 9 2 2 2 3 6" xfId="2662" xr:uid="{00000000-0005-0000-0000-0000A81E0000}"/>
    <cellStyle name="Normal 9 2 2 2 3 6 2" xfId="6945" xr:uid="{00000000-0005-0000-0000-0000A91E0000}"/>
    <cellStyle name="Normal 9 2 2 2 3 6 2 2" xfId="23880" xr:uid="{A9B6CC2F-B06F-4F02-B6BE-DF0A40C91AA2}"/>
    <cellStyle name="Normal 9 2 2 2 3 6 2 3" xfId="15439" xr:uid="{29ACCE6A-5115-46BA-8539-0D00019A1F2F}"/>
    <cellStyle name="Normal 9 2 2 2 3 6 3" xfId="19662" xr:uid="{D56F406C-7E51-46CD-A7D4-CA155C52B619}"/>
    <cellStyle name="Normal 9 2 2 2 3 6 4" xfId="11210" xr:uid="{99E8A7D8-3298-48C2-9FAD-ECDD2A5B0102}"/>
    <cellStyle name="Normal 9 2 2 2 3 7" xfId="4880" xr:uid="{00000000-0005-0000-0000-0000AA1E0000}"/>
    <cellStyle name="Normal 9 2 2 2 3 7 2" xfId="21815" xr:uid="{4F2975CF-1852-46FC-AF91-FB215235320B}"/>
    <cellStyle name="Normal 9 2 2 2 3 7 3" xfId="13374" xr:uid="{51EA9042-5A99-4287-8DDD-2D4AA6AAF991}"/>
    <cellStyle name="Normal 9 2 2 2 3 8" xfId="17597" xr:uid="{27CACFD3-9795-4126-9C91-E908A3B8B29A}"/>
    <cellStyle name="Normal 9 2 2 2 3 9" xfId="9122" xr:uid="{34996F14-E1FD-434C-96A0-A0728ADA63EC}"/>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4370" xr:uid="{9D2B4FB5-5CB8-41B8-9600-A3F2E0ABA953}"/>
    <cellStyle name="Normal 9 2 2 2 4 2 2 3" xfId="15929" xr:uid="{23278256-0346-4FFB-8CF4-8530EC216A24}"/>
    <cellStyle name="Normal 9 2 2 2 4 2 3" xfId="20152" xr:uid="{428F1397-F5AA-468E-AC2A-287488FA4DDE}"/>
    <cellStyle name="Normal 9 2 2 2 4 2 4" xfId="11710" xr:uid="{A6D3A8F7-C561-4D9E-9FD4-1D7B2C5C032C}"/>
    <cellStyle name="Normal 9 2 2 2 4 3" xfId="5290" xr:uid="{00000000-0005-0000-0000-0000AE1E0000}"/>
    <cellStyle name="Normal 9 2 2 2 4 3 2" xfId="22225" xr:uid="{13E3B40C-8E52-4585-9532-2522E4159FDF}"/>
    <cellStyle name="Normal 9 2 2 2 4 3 3" xfId="13784" xr:uid="{EF0111E7-C304-421F-A89B-1CB172F7EC83}"/>
    <cellStyle name="Normal 9 2 2 2 4 4" xfId="18007" xr:uid="{C479273D-DD0F-4D47-9E91-732B19EB0C28}"/>
    <cellStyle name="Normal 9 2 2 2 4 5" xfId="9533" xr:uid="{C8F61352-D5B8-4647-A27C-6B7F8BC07C1B}"/>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4783" xr:uid="{6A8F1965-EBEF-499B-BF8D-E177D4A4D024}"/>
    <cellStyle name="Normal 9 2 2 2 5 2 2 3" xfId="16342" xr:uid="{D40D6590-FC5A-498E-B3BE-EEB2F2AA4742}"/>
    <cellStyle name="Normal 9 2 2 2 5 2 3" xfId="20565" xr:uid="{E293991C-5922-4208-84F9-402CEAB33F8D}"/>
    <cellStyle name="Normal 9 2 2 2 5 2 4" xfId="12123" xr:uid="{43771FBB-773E-4BFC-827D-C0A79C7D28BB}"/>
    <cellStyle name="Normal 9 2 2 2 5 3" xfId="5703" xr:uid="{00000000-0005-0000-0000-0000B21E0000}"/>
    <cellStyle name="Normal 9 2 2 2 5 3 2" xfId="22638" xr:uid="{AB24BF87-2781-4D0A-932A-5106DCF9EAC8}"/>
    <cellStyle name="Normal 9 2 2 2 5 3 3" xfId="14197" xr:uid="{C56B3C24-6EB4-4AD6-A7B1-EFE67907428E}"/>
    <cellStyle name="Normal 9 2 2 2 5 4" xfId="18420" xr:uid="{92944753-74AF-4910-A40A-F5B245D9F27E}"/>
    <cellStyle name="Normal 9 2 2 2 5 5" xfId="9946" xr:uid="{92A2873B-2EF9-435E-9DCD-64A7F405F7A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5196" xr:uid="{6067D10D-0A8A-4004-BECB-D1AD490DF837}"/>
    <cellStyle name="Normal 9 2 2 2 6 2 2 3" xfId="16755" xr:uid="{01FC30D2-FBBA-4A12-BC7A-87D7092F0658}"/>
    <cellStyle name="Normal 9 2 2 2 6 2 3" xfId="20978" xr:uid="{EBCCC2B3-B4F8-4E9E-8C13-F5E60CEC668C}"/>
    <cellStyle name="Normal 9 2 2 2 6 2 4" xfId="12536" xr:uid="{41ED9895-A937-4C4B-B3F6-4626BFC95024}"/>
    <cellStyle name="Normal 9 2 2 2 6 3" xfId="6116" xr:uid="{00000000-0005-0000-0000-0000B61E0000}"/>
    <cellStyle name="Normal 9 2 2 2 6 3 2" xfId="23051" xr:uid="{37A81BD0-B44F-428C-8936-546581AC855C}"/>
    <cellStyle name="Normal 9 2 2 2 6 3 3" xfId="14610" xr:uid="{7FA89745-D54C-4B70-907E-40690056FEA9}"/>
    <cellStyle name="Normal 9 2 2 2 6 4" xfId="18833" xr:uid="{4B603C87-1141-4D89-8360-8CBEE742BED2}"/>
    <cellStyle name="Normal 9 2 2 2 6 5" xfId="10359" xr:uid="{28E92744-6D79-4348-B35A-78528284DCBC}"/>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5609" xr:uid="{1428BF0D-3238-4783-A420-06FDE124EED1}"/>
    <cellStyle name="Normal 9 2 2 2 7 2 2 3" xfId="17168" xr:uid="{45BBA915-21F9-4A15-9C6A-05A9CB364C68}"/>
    <cellStyle name="Normal 9 2 2 2 7 2 3" xfId="21391" xr:uid="{18A0CFCD-02C0-4221-854F-9D2BE310085E}"/>
    <cellStyle name="Normal 9 2 2 2 7 2 4" xfId="12949" xr:uid="{7BE34CCD-B7AB-4B26-AE71-D235DFBA0940}"/>
    <cellStyle name="Normal 9 2 2 2 7 3" xfId="6529" xr:uid="{00000000-0005-0000-0000-0000BA1E0000}"/>
    <cellStyle name="Normal 9 2 2 2 7 3 2" xfId="23464" xr:uid="{0123EC47-57D7-46C8-8681-432874F73711}"/>
    <cellStyle name="Normal 9 2 2 2 7 3 3" xfId="15023" xr:uid="{FDE5F5BB-5751-4D30-AEDF-387F72BEFD9A}"/>
    <cellStyle name="Normal 9 2 2 2 7 4" xfId="19246" xr:uid="{2FF5AAF4-B162-43BF-8D45-8F1C812589F8}"/>
    <cellStyle name="Normal 9 2 2 2 7 5" xfId="10772" xr:uid="{9EDF82AC-E6C6-445F-81C1-E7BC3B195110}"/>
    <cellStyle name="Normal 9 2 2 2 8" xfId="2659" xr:uid="{00000000-0005-0000-0000-0000BB1E0000}"/>
    <cellStyle name="Normal 9 2 2 2 8 2" xfId="6942" xr:uid="{00000000-0005-0000-0000-0000BC1E0000}"/>
    <cellStyle name="Normal 9 2 2 2 8 2 2" xfId="23877" xr:uid="{2AD9FE55-4C85-4837-96A9-EA1FEC2EB3A3}"/>
    <cellStyle name="Normal 9 2 2 2 8 2 3" xfId="15436" xr:uid="{94166BF1-5089-4911-8F98-42AE32A63F43}"/>
    <cellStyle name="Normal 9 2 2 2 8 3" xfId="19659" xr:uid="{A0202D22-49F1-4CCB-9670-C5E7CC6771C6}"/>
    <cellStyle name="Normal 9 2 2 2 8 4" xfId="11207" xr:uid="{84FF1D66-1B60-4F94-82DE-F1750B63EC6D}"/>
    <cellStyle name="Normal 9 2 2 2 9" xfId="4877" xr:uid="{00000000-0005-0000-0000-0000BD1E0000}"/>
    <cellStyle name="Normal 9 2 2 2 9 2" xfId="21812" xr:uid="{6F6565FE-1EDE-42A3-A7F2-F915327952D2}"/>
    <cellStyle name="Normal 9 2 2 2 9 3" xfId="13371" xr:uid="{B873E66C-72C6-4D7C-8766-4CC34017D16E}"/>
    <cellStyle name="Normal 9 2 2 3" xfId="517" xr:uid="{00000000-0005-0000-0000-0000BE1E0000}"/>
    <cellStyle name="Normal 9 2 2 3 10" xfId="9123" xr:uid="{2FF01D20-C1B7-4304-8F21-E041D07B8F4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4375" xr:uid="{2B230344-12BD-42AB-9DBE-9A087935F727}"/>
    <cellStyle name="Normal 9 2 2 3 2 2 2 2 3" xfId="15934" xr:uid="{899DCA23-8BD3-4664-80B0-8DAB8BAEE287}"/>
    <cellStyle name="Normal 9 2 2 3 2 2 2 3" xfId="20157" xr:uid="{51C23B25-1ABF-4D1A-AE73-77BE23A9F7E0}"/>
    <cellStyle name="Normal 9 2 2 3 2 2 2 4" xfId="11715" xr:uid="{0A1F5AB7-FB65-48A2-BFBD-D0346C57BCFB}"/>
    <cellStyle name="Normal 9 2 2 3 2 2 3" xfId="5295" xr:uid="{00000000-0005-0000-0000-0000C31E0000}"/>
    <cellStyle name="Normal 9 2 2 3 2 2 3 2" xfId="22230" xr:uid="{D9FEA091-3706-4394-8CC3-487D9FADDE9A}"/>
    <cellStyle name="Normal 9 2 2 3 2 2 3 3" xfId="13789" xr:uid="{C37B37E7-CB44-48C8-8AD5-DC54F34E8B60}"/>
    <cellStyle name="Normal 9 2 2 3 2 2 4" xfId="18012" xr:uid="{7A514C1F-7A86-456C-BE09-4D68BE9D23A2}"/>
    <cellStyle name="Normal 9 2 2 3 2 2 5" xfId="9538" xr:uid="{04953EC0-B54C-463A-A9B3-C8B5F1D2DB45}"/>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4788" xr:uid="{DCC8540D-36E2-4BD1-BBB4-2851B24C8FC4}"/>
    <cellStyle name="Normal 9 2 2 3 2 3 2 2 3" xfId="16347" xr:uid="{6929633A-E59C-43A1-AC55-E5E52868A068}"/>
    <cellStyle name="Normal 9 2 2 3 2 3 2 3" xfId="20570" xr:uid="{E0C94E9A-93BC-410F-8789-44359C047B2C}"/>
    <cellStyle name="Normal 9 2 2 3 2 3 2 4" xfId="12128" xr:uid="{39705D41-91C6-4405-804E-10AF7F890595}"/>
    <cellStyle name="Normal 9 2 2 3 2 3 3" xfId="5708" xr:uid="{00000000-0005-0000-0000-0000C71E0000}"/>
    <cellStyle name="Normal 9 2 2 3 2 3 3 2" xfId="22643" xr:uid="{8E80A0A3-69E1-4386-B5B6-6C1E5E6EC5A7}"/>
    <cellStyle name="Normal 9 2 2 3 2 3 3 3" xfId="14202" xr:uid="{2F48FA8B-D774-4014-9239-7C114849758E}"/>
    <cellStyle name="Normal 9 2 2 3 2 3 4" xfId="18425" xr:uid="{7A3776A6-7C27-4635-8D9A-215551D6084A}"/>
    <cellStyle name="Normal 9 2 2 3 2 3 5" xfId="9951" xr:uid="{7E1546AD-99DE-4D42-A333-2E7A4A12FDC2}"/>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5201" xr:uid="{4B0A226C-A7EB-4797-AAEC-DFC1ED65123B}"/>
    <cellStyle name="Normal 9 2 2 3 2 4 2 2 3" xfId="16760" xr:uid="{D4B1B639-DF75-4E9D-9F8F-B59242F5E853}"/>
    <cellStyle name="Normal 9 2 2 3 2 4 2 3" xfId="20983" xr:uid="{683CFED9-1444-4BB9-BBD1-6DFB4CA35F37}"/>
    <cellStyle name="Normal 9 2 2 3 2 4 2 4" xfId="12541" xr:uid="{743719AF-95CE-4465-9781-AA743278DBBA}"/>
    <cellStyle name="Normal 9 2 2 3 2 4 3" xfId="6121" xr:uid="{00000000-0005-0000-0000-0000CB1E0000}"/>
    <cellStyle name="Normal 9 2 2 3 2 4 3 2" xfId="23056" xr:uid="{4FD28879-E105-46E0-A41F-2A9C41661CE8}"/>
    <cellStyle name="Normal 9 2 2 3 2 4 3 3" xfId="14615" xr:uid="{663E3BB9-3D18-4A0F-9342-C5C37F3ACCC4}"/>
    <cellStyle name="Normal 9 2 2 3 2 4 4" xfId="18838" xr:uid="{0969309F-B9E7-4029-9956-FFC2C49C9ED9}"/>
    <cellStyle name="Normal 9 2 2 3 2 4 5" xfId="10364" xr:uid="{45FA3FED-2120-4755-B372-611B4C14349B}"/>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5614" xr:uid="{4845F261-0AF4-483F-A78E-B3A4496DF22C}"/>
    <cellStyle name="Normal 9 2 2 3 2 5 2 2 3" xfId="17173" xr:uid="{CB9E9525-734C-449B-8BB7-C563430908AE}"/>
    <cellStyle name="Normal 9 2 2 3 2 5 2 3" xfId="21396" xr:uid="{2370D730-360A-4FDE-B846-9713AAFC26C4}"/>
    <cellStyle name="Normal 9 2 2 3 2 5 2 4" xfId="12954" xr:uid="{243FBB2C-F839-40DF-9228-9853680CC4B5}"/>
    <cellStyle name="Normal 9 2 2 3 2 5 3" xfId="6534" xr:uid="{00000000-0005-0000-0000-0000CF1E0000}"/>
    <cellStyle name="Normal 9 2 2 3 2 5 3 2" xfId="23469" xr:uid="{4432B07E-16D9-494D-9497-F97DC48C023A}"/>
    <cellStyle name="Normal 9 2 2 3 2 5 3 3" xfId="15028" xr:uid="{B68CF932-D425-457E-9349-38F3AC753F85}"/>
    <cellStyle name="Normal 9 2 2 3 2 5 4" xfId="19251" xr:uid="{38753921-43FF-4D77-9461-E41EB56D1D69}"/>
    <cellStyle name="Normal 9 2 2 3 2 5 5" xfId="10777" xr:uid="{FA2D64F3-A176-46B4-89AD-BB066750D99F}"/>
    <cellStyle name="Normal 9 2 2 3 2 6" xfId="2664" xr:uid="{00000000-0005-0000-0000-0000D01E0000}"/>
    <cellStyle name="Normal 9 2 2 3 2 6 2" xfId="6947" xr:uid="{00000000-0005-0000-0000-0000D11E0000}"/>
    <cellStyle name="Normal 9 2 2 3 2 6 2 2" xfId="23882" xr:uid="{C9A36129-B596-42C2-96B8-B0D31347E453}"/>
    <cellStyle name="Normal 9 2 2 3 2 6 2 3" xfId="15441" xr:uid="{BB3B23A8-F497-4482-9FD6-AEFB9486FC3F}"/>
    <cellStyle name="Normal 9 2 2 3 2 6 3" xfId="19664" xr:uid="{389C5D74-D107-49D3-93B2-CCF0F8B72569}"/>
    <cellStyle name="Normal 9 2 2 3 2 6 4" xfId="11212" xr:uid="{5F4AF0CC-CBA2-4EBA-A558-B49334DF426C}"/>
    <cellStyle name="Normal 9 2 2 3 2 7" xfId="4882" xr:uid="{00000000-0005-0000-0000-0000D21E0000}"/>
    <cellStyle name="Normal 9 2 2 3 2 7 2" xfId="21817" xr:uid="{144E35B8-404F-49F9-947E-3E84AFB22218}"/>
    <cellStyle name="Normal 9 2 2 3 2 7 3" xfId="13376" xr:uid="{1AE5652A-9D0B-48B5-A5DE-C933F919995D}"/>
    <cellStyle name="Normal 9 2 2 3 2 8" xfId="17599" xr:uid="{0C72BDA3-5AF5-48A1-A5A1-7B7905D22B59}"/>
    <cellStyle name="Normal 9 2 2 3 2 9" xfId="9124" xr:uid="{CD8BEB8E-2E00-4881-8412-F17C2022A142}"/>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4374" xr:uid="{28A41CDF-D9AA-48EF-BD3B-1F7872FEEDAA}"/>
    <cellStyle name="Normal 9 2 2 3 3 2 2 3" xfId="15933" xr:uid="{425D044D-13D4-4006-B55A-A8F580EA478C}"/>
    <cellStyle name="Normal 9 2 2 3 3 2 3" xfId="20156" xr:uid="{CF37F982-17F5-49C9-9982-6752F42D9B33}"/>
    <cellStyle name="Normal 9 2 2 3 3 2 4" xfId="11714" xr:uid="{D529B00D-BE7E-4DB2-A194-8B03F42645EC}"/>
    <cellStyle name="Normal 9 2 2 3 3 3" xfId="5294" xr:uid="{00000000-0005-0000-0000-0000D61E0000}"/>
    <cellStyle name="Normal 9 2 2 3 3 3 2" xfId="22229" xr:uid="{B8F8CA07-C4BC-433D-A51A-43D27B132B4C}"/>
    <cellStyle name="Normal 9 2 2 3 3 3 3" xfId="13788" xr:uid="{29BD7817-4347-4949-988E-70CE2B50DFE5}"/>
    <cellStyle name="Normal 9 2 2 3 3 4" xfId="18011" xr:uid="{6B88D530-F544-4814-9B49-5D91D744222D}"/>
    <cellStyle name="Normal 9 2 2 3 3 5" xfId="9537" xr:uid="{05DC9DCF-D806-47A4-8FD2-8783454A9960}"/>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4787" xr:uid="{4ADE44E3-5063-4ED5-9430-B542BC028586}"/>
    <cellStyle name="Normal 9 2 2 3 4 2 2 3" xfId="16346" xr:uid="{8B70E7C7-578E-4E01-8327-85EB3BCE8805}"/>
    <cellStyle name="Normal 9 2 2 3 4 2 3" xfId="20569" xr:uid="{36EDEF39-5EBD-4927-9C92-9C14CE1B9813}"/>
    <cellStyle name="Normal 9 2 2 3 4 2 4" xfId="12127" xr:uid="{8591A845-6D86-49BD-90AF-0A7FC6B70120}"/>
    <cellStyle name="Normal 9 2 2 3 4 3" xfId="5707" xr:uid="{00000000-0005-0000-0000-0000DA1E0000}"/>
    <cellStyle name="Normal 9 2 2 3 4 3 2" xfId="22642" xr:uid="{62C8A1A1-8881-4AF3-B21A-46B4CFE3D565}"/>
    <cellStyle name="Normal 9 2 2 3 4 3 3" xfId="14201" xr:uid="{067E06AF-7D9E-4A36-B29E-B05688BB1A27}"/>
    <cellStyle name="Normal 9 2 2 3 4 4" xfId="18424" xr:uid="{64EB6E71-81B4-43E8-958E-9351B08B155F}"/>
    <cellStyle name="Normal 9 2 2 3 4 5" xfId="9950" xr:uid="{4808A86D-C231-4579-93C4-FEB02EED8214}"/>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5200" xr:uid="{620CF29B-7C8F-4FDA-8FD8-F818CC52201B}"/>
    <cellStyle name="Normal 9 2 2 3 5 2 2 3" xfId="16759" xr:uid="{C22F76A6-2AAD-4E37-B73C-E37FAD8B655B}"/>
    <cellStyle name="Normal 9 2 2 3 5 2 3" xfId="20982" xr:uid="{BA810BB0-C71B-4246-8363-3D640FCDE828}"/>
    <cellStyle name="Normal 9 2 2 3 5 2 4" xfId="12540" xr:uid="{6203AFF5-1219-4198-9BFB-B33C2E2B4108}"/>
    <cellStyle name="Normal 9 2 2 3 5 3" xfId="6120" xr:uid="{00000000-0005-0000-0000-0000DE1E0000}"/>
    <cellStyle name="Normal 9 2 2 3 5 3 2" xfId="23055" xr:uid="{093ABE0F-1D1F-4AD4-A379-3FD4ED6D0917}"/>
    <cellStyle name="Normal 9 2 2 3 5 3 3" xfId="14614" xr:uid="{7B3F5D58-840C-42FF-A874-412500B0EE12}"/>
    <cellStyle name="Normal 9 2 2 3 5 4" xfId="18837" xr:uid="{A46F2B8C-93D1-48A3-B81D-30E88E245449}"/>
    <cellStyle name="Normal 9 2 2 3 5 5" xfId="10363" xr:uid="{0E5E00B7-9130-4152-9EFE-14A2246296D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5613" xr:uid="{F9525FF6-DD6E-442B-B0A2-0431234CEFC5}"/>
    <cellStyle name="Normal 9 2 2 3 6 2 2 3" xfId="17172" xr:uid="{5E88F0E5-A2D6-4A12-8C59-19567F1ED698}"/>
    <cellStyle name="Normal 9 2 2 3 6 2 3" xfId="21395" xr:uid="{14E24128-9986-4DD8-B5F7-68E97D349CFE}"/>
    <cellStyle name="Normal 9 2 2 3 6 2 4" xfId="12953" xr:uid="{346D7EED-A367-408C-8B91-B5B7D1A50FE1}"/>
    <cellStyle name="Normal 9 2 2 3 6 3" xfId="6533" xr:uid="{00000000-0005-0000-0000-0000E21E0000}"/>
    <cellStyle name="Normal 9 2 2 3 6 3 2" xfId="23468" xr:uid="{6547726D-1F17-4092-9E71-932AC28ACA50}"/>
    <cellStyle name="Normal 9 2 2 3 6 3 3" xfId="15027" xr:uid="{FB49B903-8912-4415-B155-CC32D0CCBD22}"/>
    <cellStyle name="Normal 9 2 2 3 6 4" xfId="19250" xr:uid="{0FE08EB4-B864-4DB6-907E-C881CA380A2A}"/>
    <cellStyle name="Normal 9 2 2 3 6 5" xfId="10776" xr:uid="{832B87FD-F182-4EB8-83CC-2A0508795BB8}"/>
    <cellStyle name="Normal 9 2 2 3 7" xfId="2663" xr:uid="{00000000-0005-0000-0000-0000E31E0000}"/>
    <cellStyle name="Normal 9 2 2 3 7 2" xfId="6946" xr:uid="{00000000-0005-0000-0000-0000E41E0000}"/>
    <cellStyle name="Normal 9 2 2 3 7 2 2" xfId="23881" xr:uid="{7052B01F-25F4-49D0-9303-255FC8DE964D}"/>
    <cellStyle name="Normal 9 2 2 3 7 2 3" xfId="15440" xr:uid="{16B9DCF0-78CC-468C-80FB-99D675512F7B}"/>
    <cellStyle name="Normal 9 2 2 3 7 3" xfId="19663" xr:uid="{A3ED8367-CFDA-4AEB-97B9-A928C25F8B9A}"/>
    <cellStyle name="Normal 9 2 2 3 7 4" xfId="11211" xr:uid="{0934C528-40FA-4163-A683-05B482B4B0B3}"/>
    <cellStyle name="Normal 9 2 2 3 8" xfId="4881" xr:uid="{00000000-0005-0000-0000-0000E51E0000}"/>
    <cellStyle name="Normal 9 2 2 3 8 2" xfId="21816" xr:uid="{1DAB5BA2-349B-43DD-AC58-455D3D73FDC8}"/>
    <cellStyle name="Normal 9 2 2 3 8 3" xfId="13375" xr:uid="{9C37D3E2-80B9-40E6-B1B5-F2CD9EB0B9C6}"/>
    <cellStyle name="Normal 9 2 2 3 9" xfId="17598" xr:uid="{3592B2F9-34CE-4BFF-BFE3-4048C69A49C7}"/>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4376" xr:uid="{91C2E82E-4DA4-402E-BCE7-E770F7EA782A}"/>
    <cellStyle name="Normal 9 2 2 4 2 2 2 3" xfId="15935" xr:uid="{E2573F68-5EA3-45B6-81A6-B46927817E3E}"/>
    <cellStyle name="Normal 9 2 2 4 2 2 3" xfId="20158" xr:uid="{991C0F1C-4175-4B96-B7F9-48651B04A9BB}"/>
    <cellStyle name="Normal 9 2 2 4 2 2 4" xfId="11716" xr:uid="{87C29040-AD92-4718-992F-CAC470F61FF9}"/>
    <cellStyle name="Normal 9 2 2 4 2 3" xfId="5296" xr:uid="{00000000-0005-0000-0000-0000EA1E0000}"/>
    <cellStyle name="Normal 9 2 2 4 2 3 2" xfId="22231" xr:uid="{30620475-E3D9-46C4-86A1-828BCC9BE374}"/>
    <cellStyle name="Normal 9 2 2 4 2 3 3" xfId="13790" xr:uid="{76E1FE5B-6EEF-4BA2-95CA-82C34F0D1BCE}"/>
    <cellStyle name="Normal 9 2 2 4 2 4" xfId="18013" xr:uid="{38E0080F-CF7F-499A-82F2-4166BD935369}"/>
    <cellStyle name="Normal 9 2 2 4 2 5" xfId="9539" xr:uid="{793C19BE-FDDF-4506-97AB-4B68B6B1A7A0}"/>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4789" xr:uid="{2B701B54-809E-4353-A160-F0735F1C2D5A}"/>
    <cellStyle name="Normal 9 2 2 4 3 2 2 3" xfId="16348" xr:uid="{A058341B-0DEC-49F0-A37C-42CCB896DEDC}"/>
    <cellStyle name="Normal 9 2 2 4 3 2 3" xfId="20571" xr:uid="{A5655378-9408-4886-9AFB-C5514C88D488}"/>
    <cellStyle name="Normal 9 2 2 4 3 2 4" xfId="12129" xr:uid="{4206CB3B-5599-482E-9520-CF67079ACF00}"/>
    <cellStyle name="Normal 9 2 2 4 3 3" xfId="5709" xr:uid="{00000000-0005-0000-0000-0000EE1E0000}"/>
    <cellStyle name="Normal 9 2 2 4 3 3 2" xfId="22644" xr:uid="{8F1170C2-EAD4-47D4-B651-A6714E527ACF}"/>
    <cellStyle name="Normal 9 2 2 4 3 3 3" xfId="14203" xr:uid="{56EC7D65-FC15-4D05-B464-BD7F2F004038}"/>
    <cellStyle name="Normal 9 2 2 4 3 4" xfId="18426" xr:uid="{802F56F7-A5ED-4252-8303-7495D96A0960}"/>
    <cellStyle name="Normal 9 2 2 4 3 5" xfId="9952" xr:uid="{9C39DB5B-F053-4B0B-AF28-5D50B26831BD}"/>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5202" xr:uid="{359194C3-F25A-4FD2-AE4F-DC4445C136F4}"/>
    <cellStyle name="Normal 9 2 2 4 4 2 2 3" xfId="16761" xr:uid="{3821450F-569E-4BA6-9CA2-7169E8B6BDB7}"/>
    <cellStyle name="Normal 9 2 2 4 4 2 3" xfId="20984" xr:uid="{2BFA13B6-3DD7-4ED4-BC5D-3C9DD5A3E0F9}"/>
    <cellStyle name="Normal 9 2 2 4 4 2 4" xfId="12542" xr:uid="{6F88242F-6DAE-48FA-9B10-70BDF8834F47}"/>
    <cellStyle name="Normal 9 2 2 4 4 3" xfId="6122" xr:uid="{00000000-0005-0000-0000-0000F21E0000}"/>
    <cellStyle name="Normal 9 2 2 4 4 3 2" xfId="23057" xr:uid="{8BB1C0CE-5D8F-4FAA-8C64-C719347DD71A}"/>
    <cellStyle name="Normal 9 2 2 4 4 3 3" xfId="14616" xr:uid="{9D972CD2-ADA8-4E95-8329-018CD2020E2B}"/>
    <cellStyle name="Normal 9 2 2 4 4 4" xfId="18839" xr:uid="{6D0B63D5-D993-4DAB-B9E9-2D0E24F4943B}"/>
    <cellStyle name="Normal 9 2 2 4 4 5" xfId="10365" xr:uid="{771E7B6B-2CF0-45DC-B703-C609681BA61D}"/>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5615" xr:uid="{0DEAC932-779D-40DE-BE88-9E2D42984899}"/>
    <cellStyle name="Normal 9 2 2 4 5 2 2 3" xfId="17174" xr:uid="{C8CC8B35-1F84-49F6-8A6A-D1D22D024AE9}"/>
    <cellStyle name="Normal 9 2 2 4 5 2 3" xfId="21397" xr:uid="{181DDBC7-3F19-402E-9DA2-D7DFB5BE08B9}"/>
    <cellStyle name="Normal 9 2 2 4 5 2 4" xfId="12955" xr:uid="{532E073F-C9D3-4575-B6E8-F01B0735E216}"/>
    <cellStyle name="Normal 9 2 2 4 5 3" xfId="6535" xr:uid="{00000000-0005-0000-0000-0000F61E0000}"/>
    <cellStyle name="Normal 9 2 2 4 5 3 2" xfId="23470" xr:uid="{00048C00-6F32-4A70-9CDB-714010D7CF6F}"/>
    <cellStyle name="Normal 9 2 2 4 5 3 3" xfId="15029" xr:uid="{ACC37B7D-8DA0-4355-954C-D1258649A04B}"/>
    <cellStyle name="Normal 9 2 2 4 5 4" xfId="19252" xr:uid="{693ED1AC-E82C-42C7-8284-2E8439D060CE}"/>
    <cellStyle name="Normal 9 2 2 4 5 5" xfId="10778" xr:uid="{47DDB790-4F50-4C4C-8923-20A6B4EB967D}"/>
    <cellStyle name="Normal 9 2 2 4 6" xfId="2665" xr:uid="{00000000-0005-0000-0000-0000F71E0000}"/>
    <cellStyle name="Normal 9 2 2 4 6 2" xfId="6948" xr:uid="{00000000-0005-0000-0000-0000F81E0000}"/>
    <cellStyle name="Normal 9 2 2 4 6 2 2" xfId="23883" xr:uid="{70082E1B-968E-4053-8429-5792780069E6}"/>
    <cellStyle name="Normal 9 2 2 4 6 2 3" xfId="15442" xr:uid="{9412C0B6-180B-4978-9AF3-6837E7D69D1D}"/>
    <cellStyle name="Normal 9 2 2 4 6 3" xfId="19665" xr:uid="{B5D09333-FBEB-462D-B33D-131BBF07B0D0}"/>
    <cellStyle name="Normal 9 2 2 4 6 4" xfId="11213" xr:uid="{DA6AD4D8-DAF5-4684-9328-DAE6421580CC}"/>
    <cellStyle name="Normal 9 2 2 4 7" xfId="4883" xr:uid="{00000000-0005-0000-0000-0000F91E0000}"/>
    <cellStyle name="Normal 9 2 2 4 7 2" xfId="21818" xr:uid="{ADC30BCE-4B6B-4B5F-A150-59BE2D570F6C}"/>
    <cellStyle name="Normal 9 2 2 4 7 3" xfId="13377" xr:uid="{D279428C-230A-4318-A25A-581D61D423F2}"/>
    <cellStyle name="Normal 9 2 2 4 8" xfId="17600" xr:uid="{E1389F3D-EE58-4B08-83AE-513706FD9D21}"/>
    <cellStyle name="Normal 9 2 2 4 9" xfId="9125" xr:uid="{96E7B072-F3AB-468A-BEED-BC20C1C7F57B}"/>
    <cellStyle name="Normal 9 2 2 5" xfId="979" xr:uid="{00000000-0005-0000-0000-0000FA1E0000}"/>
    <cellStyle name="Normal 9 2 2 5 2" xfId="3212" xr:uid="{00000000-0005-0000-0000-0000FB1E0000}"/>
    <cellStyle name="Normal 9 2 2 5 2 2" xfId="7434" xr:uid="{00000000-0005-0000-0000-0000FC1E0000}"/>
    <cellStyle name="Normal 9 2 2 5 2 2 2" xfId="24369" xr:uid="{8E0E616A-B881-4DD5-8DDF-39E7DD49B3EA}"/>
    <cellStyle name="Normal 9 2 2 5 2 2 3" xfId="15928" xr:uid="{52B11E64-4957-4793-AE3D-0EA093FB4BC1}"/>
    <cellStyle name="Normal 9 2 2 5 2 3" xfId="20151" xr:uid="{F463ACE4-3C1A-4062-8872-0874E9FC3A77}"/>
    <cellStyle name="Normal 9 2 2 5 2 4" xfId="11709" xr:uid="{7626FD1C-B54E-419B-83E9-F0BFB683985B}"/>
    <cellStyle name="Normal 9 2 2 5 3" xfId="5289" xr:uid="{00000000-0005-0000-0000-0000FD1E0000}"/>
    <cellStyle name="Normal 9 2 2 5 3 2" xfId="22224" xr:uid="{C9C1E420-1730-436F-8213-B7B9EC6400F6}"/>
    <cellStyle name="Normal 9 2 2 5 3 3" xfId="13783" xr:uid="{16324C59-149D-4AE1-B8E1-093CA9C6F8FC}"/>
    <cellStyle name="Normal 9 2 2 5 4" xfId="18006" xr:uid="{A25B55A0-7C12-4316-80F8-65CBA2689B20}"/>
    <cellStyle name="Normal 9 2 2 5 5" xfId="9532" xr:uid="{C338FA57-2C10-4B59-AACD-D3FC23BB1891}"/>
    <cellStyle name="Normal 9 2 2 6" xfId="1395" xr:uid="{00000000-0005-0000-0000-0000FE1E0000}"/>
    <cellStyle name="Normal 9 2 2 6 2" xfId="3625" xr:uid="{00000000-0005-0000-0000-0000FF1E0000}"/>
    <cellStyle name="Normal 9 2 2 6 2 2" xfId="7847" xr:uid="{00000000-0005-0000-0000-0000001F0000}"/>
    <cellStyle name="Normal 9 2 2 6 2 2 2" xfId="24782" xr:uid="{26A11397-6801-4E22-83F4-4E7467992B2E}"/>
    <cellStyle name="Normal 9 2 2 6 2 2 3" xfId="16341" xr:uid="{F40D6C80-C047-474D-BB34-854FA704761C}"/>
    <cellStyle name="Normal 9 2 2 6 2 3" xfId="20564" xr:uid="{132CE4F5-FD29-4E0A-B90F-CB34C31BCCE2}"/>
    <cellStyle name="Normal 9 2 2 6 2 4" xfId="12122" xr:uid="{A44CDF24-887C-4670-A744-5240E9F47D70}"/>
    <cellStyle name="Normal 9 2 2 6 3" xfId="5702" xr:uid="{00000000-0005-0000-0000-0000011F0000}"/>
    <cellStyle name="Normal 9 2 2 6 3 2" xfId="22637" xr:uid="{103B6168-5D0F-455B-8CA0-8E1D6F8719E9}"/>
    <cellStyle name="Normal 9 2 2 6 3 3" xfId="14196" xr:uid="{5B94099B-06A9-4D93-946C-34611608DC80}"/>
    <cellStyle name="Normal 9 2 2 6 4" xfId="18419" xr:uid="{184ADD46-1710-4743-B4FD-C983AF4C3221}"/>
    <cellStyle name="Normal 9 2 2 6 5" xfId="9945" xr:uid="{7B118F14-F709-4321-BAD9-2D7E951E753F}"/>
    <cellStyle name="Normal 9 2 2 7" xfId="1808" xr:uid="{00000000-0005-0000-0000-0000021F0000}"/>
    <cellStyle name="Normal 9 2 2 7 2" xfId="4038" xr:uid="{00000000-0005-0000-0000-0000031F0000}"/>
    <cellStyle name="Normal 9 2 2 7 2 2" xfId="8260" xr:uid="{00000000-0005-0000-0000-0000041F0000}"/>
    <cellStyle name="Normal 9 2 2 7 2 2 2" xfId="25195" xr:uid="{F65C1E85-982A-47C5-993C-589012A252A4}"/>
    <cellStyle name="Normal 9 2 2 7 2 2 3" xfId="16754" xr:uid="{D80730F4-8347-43D2-B5ED-182B68278178}"/>
    <cellStyle name="Normal 9 2 2 7 2 3" xfId="20977" xr:uid="{85F665DA-5865-4793-A9B5-E527FA6A7B97}"/>
    <cellStyle name="Normal 9 2 2 7 2 4" xfId="12535" xr:uid="{AE611668-E036-428C-87FA-FFCD0525E454}"/>
    <cellStyle name="Normal 9 2 2 7 3" xfId="6115" xr:uid="{00000000-0005-0000-0000-0000051F0000}"/>
    <cellStyle name="Normal 9 2 2 7 3 2" xfId="23050" xr:uid="{59A13C07-99BE-49A4-8BAA-B20440354C13}"/>
    <cellStyle name="Normal 9 2 2 7 3 3" xfId="14609" xr:uid="{6837216B-AE0D-4903-A35F-EBC56C4B2844}"/>
    <cellStyle name="Normal 9 2 2 7 4" xfId="18832" xr:uid="{9F7B914E-8ED7-4601-8092-C700522BE33B}"/>
    <cellStyle name="Normal 9 2 2 7 5" xfId="10358" xr:uid="{F8771AE1-FAB4-4B32-B006-EBC8BCEA7847}"/>
    <cellStyle name="Normal 9 2 2 8" xfId="2222" xr:uid="{00000000-0005-0000-0000-0000061F0000}"/>
    <cellStyle name="Normal 9 2 2 8 2" xfId="4451" xr:uid="{00000000-0005-0000-0000-0000071F0000}"/>
    <cellStyle name="Normal 9 2 2 8 2 2" xfId="8673" xr:uid="{00000000-0005-0000-0000-0000081F0000}"/>
    <cellStyle name="Normal 9 2 2 8 2 2 2" xfId="25608" xr:uid="{E52ADC57-A7FA-4353-ABC4-2D6281A44F77}"/>
    <cellStyle name="Normal 9 2 2 8 2 2 3" xfId="17167" xr:uid="{A7EC5479-8290-4B21-8FEE-BE400248E861}"/>
    <cellStyle name="Normal 9 2 2 8 2 3" xfId="21390" xr:uid="{C98EBC3C-0B79-4125-8249-CF6F52638994}"/>
    <cellStyle name="Normal 9 2 2 8 2 4" xfId="12948" xr:uid="{4213494D-A30B-45E5-9615-046769A5813C}"/>
    <cellStyle name="Normal 9 2 2 8 3" xfId="6528" xr:uid="{00000000-0005-0000-0000-0000091F0000}"/>
    <cellStyle name="Normal 9 2 2 8 3 2" xfId="23463" xr:uid="{8D17AB32-3212-4868-88CE-0A2CB0B2378B}"/>
    <cellStyle name="Normal 9 2 2 8 3 3" xfId="15022" xr:uid="{0EA752A1-98FD-4BA4-B803-35F0E5C1C873}"/>
    <cellStyle name="Normal 9 2 2 8 4" xfId="19245" xr:uid="{FEEC30A1-ED86-4B32-8F90-5CA270EB0491}"/>
    <cellStyle name="Normal 9 2 2 8 5" xfId="10771" xr:uid="{D8F834BC-82B5-40B3-AC4F-4165D24FBA3E}"/>
    <cellStyle name="Normal 9 2 2 9" xfId="2658" xr:uid="{00000000-0005-0000-0000-00000A1F0000}"/>
    <cellStyle name="Normal 9 2 2 9 2" xfId="6941" xr:uid="{00000000-0005-0000-0000-00000B1F0000}"/>
    <cellStyle name="Normal 9 2 2 9 2 2" xfId="23876" xr:uid="{1FED7261-CB1C-4CB4-90A9-7B35F8C6D038}"/>
    <cellStyle name="Normal 9 2 2 9 2 3" xfId="15435" xr:uid="{EAF59AE3-7E5B-4360-8500-655CB3A7947B}"/>
    <cellStyle name="Normal 9 2 2 9 3" xfId="19658" xr:uid="{226AE2C7-B4E6-40B4-89BE-802F7A1197AE}"/>
    <cellStyle name="Normal 9 2 2 9 4" xfId="11206" xr:uid="{4931D560-A971-4C7C-B556-5349C6A355B9}"/>
    <cellStyle name="Normal 9 2 3" xfId="520" xr:uid="{00000000-0005-0000-0000-00000C1F0000}"/>
    <cellStyle name="Normal 9 2 3 10" xfId="17601" xr:uid="{9818CA28-905B-4166-9896-1D54D87E1701}"/>
    <cellStyle name="Normal 9 2 3 11" xfId="9126" xr:uid="{B3BE3885-BF16-4994-B3E3-320ADD799E03}"/>
    <cellStyle name="Normal 9 2 3 2" xfId="521" xr:uid="{00000000-0005-0000-0000-00000D1F0000}"/>
    <cellStyle name="Normal 9 2 3 2 10" xfId="9127" xr:uid="{D1D77F07-476B-4CAE-A52C-5507F8CC5148}"/>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4379" xr:uid="{31E9A7B1-D51B-4D92-93BD-AE8935F9C192}"/>
    <cellStyle name="Normal 9 2 3 2 2 2 2 2 3" xfId="15938" xr:uid="{6E40BE11-FC3D-487E-B07D-F64B93D852F1}"/>
    <cellStyle name="Normal 9 2 3 2 2 2 2 3" xfId="20161" xr:uid="{53290541-B3DC-4B03-8F5E-AE12274B6215}"/>
    <cellStyle name="Normal 9 2 3 2 2 2 2 4" xfId="11719" xr:uid="{1D209E90-5ABB-4E74-9DB5-488582DFF1D4}"/>
    <cellStyle name="Normal 9 2 3 2 2 2 3" xfId="5299" xr:uid="{00000000-0005-0000-0000-0000121F0000}"/>
    <cellStyle name="Normal 9 2 3 2 2 2 3 2" xfId="22234" xr:uid="{2FB34CB8-4F4E-448A-82C9-B750F21B2D6D}"/>
    <cellStyle name="Normal 9 2 3 2 2 2 3 3" xfId="13793" xr:uid="{AADAA17E-AF2A-4F6C-ACAF-451FDC78444F}"/>
    <cellStyle name="Normal 9 2 3 2 2 2 4" xfId="18016" xr:uid="{C2C899BC-9732-4EB9-A9B1-6F2E87667C34}"/>
    <cellStyle name="Normal 9 2 3 2 2 2 5" xfId="9542" xr:uid="{FD4AE7C9-77A8-4378-B442-EEF1B8AD3CC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4792" xr:uid="{CACE936B-2607-4074-AD3B-604F1E4CF798}"/>
    <cellStyle name="Normal 9 2 3 2 2 3 2 2 3" xfId="16351" xr:uid="{EAAE3DD5-E1DF-4CF1-A045-DAD1FFF54DFA}"/>
    <cellStyle name="Normal 9 2 3 2 2 3 2 3" xfId="20574" xr:uid="{CFB7F1F6-1982-4EB0-A4BE-B4645B627D81}"/>
    <cellStyle name="Normal 9 2 3 2 2 3 2 4" xfId="12132" xr:uid="{FEDE9160-3B8A-4C94-840D-E1D960FA6A5E}"/>
    <cellStyle name="Normal 9 2 3 2 2 3 3" xfId="5712" xr:uid="{00000000-0005-0000-0000-0000161F0000}"/>
    <cellStyle name="Normal 9 2 3 2 2 3 3 2" xfId="22647" xr:uid="{6C01C098-7C26-4212-B979-955C56D72EF9}"/>
    <cellStyle name="Normal 9 2 3 2 2 3 3 3" xfId="14206" xr:uid="{34BAE9F6-D6BA-4E9B-9475-107472ACB0BB}"/>
    <cellStyle name="Normal 9 2 3 2 2 3 4" xfId="18429" xr:uid="{E8925568-3107-460A-A0C9-303E7B14DB82}"/>
    <cellStyle name="Normal 9 2 3 2 2 3 5" xfId="9955" xr:uid="{91B34BDE-8B4B-44C0-8E7D-BB6AF22A679B}"/>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5205" xr:uid="{E7450AF0-1973-42ED-8300-5CDC31D7F278}"/>
    <cellStyle name="Normal 9 2 3 2 2 4 2 2 3" xfId="16764" xr:uid="{D7F614FF-5739-45D0-98F9-ED2EC2EBE0BD}"/>
    <cellStyle name="Normal 9 2 3 2 2 4 2 3" xfId="20987" xr:uid="{F6DD589F-6F4C-418A-9866-BB4A65F1D2A9}"/>
    <cellStyle name="Normal 9 2 3 2 2 4 2 4" xfId="12545" xr:uid="{EA63F216-0BBE-44E1-BA24-E3281536E552}"/>
    <cellStyle name="Normal 9 2 3 2 2 4 3" xfId="6125" xr:uid="{00000000-0005-0000-0000-00001A1F0000}"/>
    <cellStyle name="Normal 9 2 3 2 2 4 3 2" xfId="23060" xr:uid="{6229C2A0-2658-4ED7-969C-869FF25CD888}"/>
    <cellStyle name="Normal 9 2 3 2 2 4 3 3" xfId="14619" xr:uid="{4306983F-81BE-4FE8-AAA1-78137BD67DE7}"/>
    <cellStyle name="Normal 9 2 3 2 2 4 4" xfId="18842" xr:uid="{6FA51D47-9CC6-448C-A395-24402B02C9F9}"/>
    <cellStyle name="Normal 9 2 3 2 2 4 5" xfId="10368" xr:uid="{F04D45F5-8F9D-40C6-96A5-A0C01080FCC3}"/>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5618" xr:uid="{51EA20ED-8D04-48EB-A34D-20EC7664FC87}"/>
    <cellStyle name="Normal 9 2 3 2 2 5 2 2 3" xfId="17177" xr:uid="{E5F8F99E-20A8-42D7-B7AE-9711ECF259E7}"/>
    <cellStyle name="Normal 9 2 3 2 2 5 2 3" xfId="21400" xr:uid="{E4B18F74-D077-49D7-B757-159DE64E2CD1}"/>
    <cellStyle name="Normal 9 2 3 2 2 5 2 4" xfId="12958" xr:uid="{86190DE3-6991-4F3C-AB01-F5C7D05FCFAD}"/>
    <cellStyle name="Normal 9 2 3 2 2 5 3" xfId="6538" xr:uid="{00000000-0005-0000-0000-00001E1F0000}"/>
    <cellStyle name="Normal 9 2 3 2 2 5 3 2" xfId="23473" xr:uid="{7CCEE40D-EC2C-45D8-9F30-2BF6327C1D2B}"/>
    <cellStyle name="Normal 9 2 3 2 2 5 3 3" xfId="15032" xr:uid="{79E13B64-7FA6-45D2-A7B9-CBF10CCE2365}"/>
    <cellStyle name="Normal 9 2 3 2 2 5 4" xfId="19255" xr:uid="{D22FCC10-A963-4C48-89D7-9E7CED20F476}"/>
    <cellStyle name="Normal 9 2 3 2 2 5 5" xfId="10781" xr:uid="{3A0FB1DD-59B4-410E-A2BE-481261188EA5}"/>
    <cellStyle name="Normal 9 2 3 2 2 6" xfId="2668" xr:uid="{00000000-0005-0000-0000-00001F1F0000}"/>
    <cellStyle name="Normal 9 2 3 2 2 6 2" xfId="6951" xr:uid="{00000000-0005-0000-0000-0000201F0000}"/>
    <cellStyle name="Normal 9 2 3 2 2 6 2 2" xfId="23886" xr:uid="{274D732B-07DD-4F08-A1F3-45497E5119A6}"/>
    <cellStyle name="Normal 9 2 3 2 2 6 2 3" xfId="15445" xr:uid="{BAD016E5-D5D9-4714-B925-C574578131B4}"/>
    <cellStyle name="Normal 9 2 3 2 2 6 3" xfId="19668" xr:uid="{04DBC555-AD20-4090-A323-7BC5A438331D}"/>
    <cellStyle name="Normal 9 2 3 2 2 6 4" xfId="11216" xr:uid="{843BB5EA-8628-4DA8-B319-391129902D13}"/>
    <cellStyle name="Normal 9 2 3 2 2 7" xfId="4886" xr:uid="{00000000-0005-0000-0000-0000211F0000}"/>
    <cellStyle name="Normal 9 2 3 2 2 7 2" xfId="21821" xr:uid="{E823862B-D1D4-4A1C-950A-D33B85109087}"/>
    <cellStyle name="Normal 9 2 3 2 2 7 3" xfId="13380" xr:uid="{0CEDFAB3-3F4C-4531-BB15-08830431CCFE}"/>
    <cellStyle name="Normal 9 2 3 2 2 8" xfId="17603" xr:uid="{8993B664-F0DA-4E00-B359-1C633954A123}"/>
    <cellStyle name="Normal 9 2 3 2 2 9" xfId="9128" xr:uid="{386306E6-E017-46DD-8C74-FD898FFE5804}"/>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4378" xr:uid="{F028B6F2-50CD-4141-B2F0-9670B7729387}"/>
    <cellStyle name="Normal 9 2 3 2 3 2 2 3" xfId="15937" xr:uid="{C5A6163F-015C-4EB4-A604-66C523504ED4}"/>
    <cellStyle name="Normal 9 2 3 2 3 2 3" xfId="20160" xr:uid="{F5366C8E-2CB0-4F8F-ABAA-7E52B7C31F64}"/>
    <cellStyle name="Normal 9 2 3 2 3 2 4" xfId="11718" xr:uid="{A3AC806F-EEBE-41F3-A355-C4A9B1E40653}"/>
    <cellStyle name="Normal 9 2 3 2 3 3" xfId="5298" xr:uid="{00000000-0005-0000-0000-0000251F0000}"/>
    <cellStyle name="Normal 9 2 3 2 3 3 2" xfId="22233" xr:uid="{D4D98878-DDEB-4DC1-BA7B-B11B512784C6}"/>
    <cellStyle name="Normal 9 2 3 2 3 3 3" xfId="13792" xr:uid="{B795805B-E370-440F-A81F-75FFD261328C}"/>
    <cellStyle name="Normal 9 2 3 2 3 4" xfId="18015" xr:uid="{9AAB2C1A-DB31-4AC9-AA3C-A9966BEF7677}"/>
    <cellStyle name="Normal 9 2 3 2 3 5" xfId="9541" xr:uid="{001B93A9-7F67-4EE1-9961-F6CB1805077A}"/>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4791" xr:uid="{B9A7DA17-702D-49F3-91D9-4093FD95D6DA}"/>
    <cellStyle name="Normal 9 2 3 2 4 2 2 3" xfId="16350" xr:uid="{C8CE31ED-350B-4DE3-9C91-02B788FACA04}"/>
    <cellStyle name="Normal 9 2 3 2 4 2 3" xfId="20573" xr:uid="{640F0C70-666D-4571-8D7C-F4CAB7CCA0A4}"/>
    <cellStyle name="Normal 9 2 3 2 4 2 4" xfId="12131" xr:uid="{2D12B2EA-05E2-4D4F-9C8C-303F1285B387}"/>
    <cellStyle name="Normal 9 2 3 2 4 3" xfId="5711" xr:uid="{00000000-0005-0000-0000-0000291F0000}"/>
    <cellStyle name="Normal 9 2 3 2 4 3 2" xfId="22646" xr:uid="{0D88FDDD-801E-4F26-B922-C51042CE3A36}"/>
    <cellStyle name="Normal 9 2 3 2 4 3 3" xfId="14205" xr:uid="{E45A5AAE-CEEB-44AF-98FE-2EA1F5C0333B}"/>
    <cellStyle name="Normal 9 2 3 2 4 4" xfId="18428" xr:uid="{DB4C8124-7B07-4437-8F11-6469D240A024}"/>
    <cellStyle name="Normal 9 2 3 2 4 5" xfId="9954" xr:uid="{7568EA0E-CD9D-40E5-A1B3-29251745DE5C}"/>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5204" xr:uid="{495E5521-EFFC-4AAB-BB4A-F48975EC76A9}"/>
    <cellStyle name="Normal 9 2 3 2 5 2 2 3" xfId="16763" xr:uid="{27BB7350-9410-4343-8911-EB8F4FC77F9B}"/>
    <cellStyle name="Normal 9 2 3 2 5 2 3" xfId="20986" xr:uid="{DD4AC430-6BFB-42C3-A3F2-9FCCC76F5B86}"/>
    <cellStyle name="Normal 9 2 3 2 5 2 4" xfId="12544" xr:uid="{68A8EAEE-6519-4596-8E7C-D8B5F342D256}"/>
    <cellStyle name="Normal 9 2 3 2 5 3" xfId="6124" xr:uid="{00000000-0005-0000-0000-00002D1F0000}"/>
    <cellStyle name="Normal 9 2 3 2 5 3 2" xfId="23059" xr:uid="{4BB04C2B-E39A-43C3-8AA8-C0D98A8A7ABF}"/>
    <cellStyle name="Normal 9 2 3 2 5 3 3" xfId="14618" xr:uid="{9C713B74-6771-4ADD-8736-2153C20EFAC9}"/>
    <cellStyle name="Normal 9 2 3 2 5 4" xfId="18841" xr:uid="{49DEB80F-CC8C-4684-8C90-6A5890BA1B32}"/>
    <cellStyle name="Normal 9 2 3 2 5 5" xfId="10367" xr:uid="{276404A6-58AA-41E5-B87B-B973BEFEDE98}"/>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5617" xr:uid="{462D0C1F-2467-4089-8125-796E1FE9AE85}"/>
    <cellStyle name="Normal 9 2 3 2 6 2 2 3" xfId="17176" xr:uid="{F0D3581C-B3DD-428F-B06F-952F7973EA6B}"/>
    <cellStyle name="Normal 9 2 3 2 6 2 3" xfId="21399" xr:uid="{68869548-075A-4F7D-A655-C4A400DE1718}"/>
    <cellStyle name="Normal 9 2 3 2 6 2 4" xfId="12957" xr:uid="{1838178A-3121-4B24-A602-8CE3D8F9907A}"/>
    <cellStyle name="Normal 9 2 3 2 6 3" xfId="6537" xr:uid="{00000000-0005-0000-0000-0000311F0000}"/>
    <cellStyle name="Normal 9 2 3 2 6 3 2" xfId="23472" xr:uid="{483E5812-95C9-4AA8-AE47-9061C720FE27}"/>
    <cellStyle name="Normal 9 2 3 2 6 3 3" xfId="15031" xr:uid="{98F86E77-F12E-4C6A-9C20-A947CE20550D}"/>
    <cellStyle name="Normal 9 2 3 2 6 4" xfId="19254" xr:uid="{B2DCE8AC-2CCA-4FCF-A0FC-D8A3A354B5E1}"/>
    <cellStyle name="Normal 9 2 3 2 6 5" xfId="10780" xr:uid="{F2780E99-EC18-4FE9-846F-8F227AE24F1C}"/>
    <cellStyle name="Normal 9 2 3 2 7" xfId="2667" xr:uid="{00000000-0005-0000-0000-0000321F0000}"/>
    <cellStyle name="Normal 9 2 3 2 7 2" xfId="6950" xr:uid="{00000000-0005-0000-0000-0000331F0000}"/>
    <cellStyle name="Normal 9 2 3 2 7 2 2" xfId="23885" xr:uid="{96B09FC9-74A0-4363-B008-896D66DD99B4}"/>
    <cellStyle name="Normal 9 2 3 2 7 2 3" xfId="15444" xr:uid="{9A3A2B1B-80DA-47B3-915D-87C46508140D}"/>
    <cellStyle name="Normal 9 2 3 2 7 3" xfId="19667" xr:uid="{235D65FC-5C65-4CB2-B5B7-6DFFF9A8762C}"/>
    <cellStyle name="Normal 9 2 3 2 7 4" xfId="11215" xr:uid="{99649B5D-65A4-4CBA-9B46-B9EBAE43F6C7}"/>
    <cellStyle name="Normal 9 2 3 2 8" xfId="4885" xr:uid="{00000000-0005-0000-0000-0000341F0000}"/>
    <cellStyle name="Normal 9 2 3 2 8 2" xfId="21820" xr:uid="{03FD53F4-AD79-46B4-89A6-B8D69CBC33FC}"/>
    <cellStyle name="Normal 9 2 3 2 8 3" xfId="13379" xr:uid="{C32A4DBB-F258-42CD-98D3-B676110AFBA2}"/>
    <cellStyle name="Normal 9 2 3 2 9" xfId="17602" xr:uid="{E85B1823-92B1-4B23-B138-43281B1A8FB7}"/>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4380" xr:uid="{9F005813-E713-4638-BAE4-985AB25BAF3E}"/>
    <cellStyle name="Normal 9 2 3 3 2 2 2 3" xfId="15939" xr:uid="{5799BFE0-9BED-4679-B4E2-11181E8DB963}"/>
    <cellStyle name="Normal 9 2 3 3 2 2 3" xfId="20162" xr:uid="{EE1873BD-D626-40DE-9B52-7C31044E9E1B}"/>
    <cellStyle name="Normal 9 2 3 3 2 2 4" xfId="11720" xr:uid="{0D858E42-B537-403F-B85A-3B6AD17788A2}"/>
    <cellStyle name="Normal 9 2 3 3 2 3" xfId="5300" xr:uid="{00000000-0005-0000-0000-0000391F0000}"/>
    <cellStyle name="Normal 9 2 3 3 2 3 2" xfId="22235" xr:uid="{2F7E76A1-9E22-4273-990A-0DE4DFCA9766}"/>
    <cellStyle name="Normal 9 2 3 3 2 3 3" xfId="13794" xr:uid="{061D27D3-9515-40CE-BFE9-EDA26B058BA6}"/>
    <cellStyle name="Normal 9 2 3 3 2 4" xfId="18017" xr:uid="{ABEAD5FA-D761-4EDB-8031-897E2F71B316}"/>
    <cellStyle name="Normal 9 2 3 3 2 5" xfId="9543" xr:uid="{D51A99D9-6405-403E-AC70-FD11DA61D0B0}"/>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4793" xr:uid="{633DB867-F247-4596-B237-A383108A556F}"/>
    <cellStyle name="Normal 9 2 3 3 3 2 2 3" xfId="16352" xr:uid="{B966C5A0-8E9D-456F-B573-D8F083506BDE}"/>
    <cellStyle name="Normal 9 2 3 3 3 2 3" xfId="20575" xr:uid="{12A3A762-F423-4ADB-B196-29AE808AB0D2}"/>
    <cellStyle name="Normal 9 2 3 3 3 2 4" xfId="12133" xr:uid="{644A1D0D-F4DE-4DBF-8F22-FE41619824CF}"/>
    <cellStyle name="Normal 9 2 3 3 3 3" xfId="5713" xr:uid="{00000000-0005-0000-0000-00003D1F0000}"/>
    <cellStyle name="Normal 9 2 3 3 3 3 2" xfId="22648" xr:uid="{5835A35C-A290-4EBC-90EF-4D20C54A4529}"/>
    <cellStyle name="Normal 9 2 3 3 3 3 3" xfId="14207" xr:uid="{0615AAA2-924D-4393-9F25-6EFBF41DB689}"/>
    <cellStyle name="Normal 9 2 3 3 3 4" xfId="18430" xr:uid="{47BB252B-1779-4A50-9AEB-EC21A0CDB40A}"/>
    <cellStyle name="Normal 9 2 3 3 3 5" xfId="9956" xr:uid="{E7FCC75E-CEF7-427D-87D6-337C8964BBC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5206" xr:uid="{67CA5664-DC9B-4028-AED2-5612FBDE86AA}"/>
    <cellStyle name="Normal 9 2 3 3 4 2 2 3" xfId="16765" xr:uid="{96D87874-A2CD-469F-9720-7C0553DE3291}"/>
    <cellStyle name="Normal 9 2 3 3 4 2 3" xfId="20988" xr:uid="{B03C03BF-7A88-40E2-9949-733EFAED3C83}"/>
    <cellStyle name="Normal 9 2 3 3 4 2 4" xfId="12546" xr:uid="{62A40C71-90E3-4773-A3BA-0092410D5ED3}"/>
    <cellStyle name="Normal 9 2 3 3 4 3" xfId="6126" xr:uid="{00000000-0005-0000-0000-0000411F0000}"/>
    <cellStyle name="Normal 9 2 3 3 4 3 2" xfId="23061" xr:uid="{31A82C42-5C8B-4204-9315-C4FEDB603956}"/>
    <cellStyle name="Normal 9 2 3 3 4 3 3" xfId="14620" xr:uid="{279D73B2-D8CE-48F7-90E8-CEF7067036FE}"/>
    <cellStyle name="Normal 9 2 3 3 4 4" xfId="18843" xr:uid="{BC15456D-4FDF-4758-945F-52D4C7A41A02}"/>
    <cellStyle name="Normal 9 2 3 3 4 5" xfId="10369" xr:uid="{724EC97C-42B4-4326-B18C-94275FDEE37A}"/>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5619" xr:uid="{FEB4C7FC-950D-4AF1-938A-33D135DF1AF7}"/>
    <cellStyle name="Normal 9 2 3 3 5 2 2 3" xfId="17178" xr:uid="{7D27D51D-8D63-4644-B15C-6F5794905B6C}"/>
    <cellStyle name="Normal 9 2 3 3 5 2 3" xfId="21401" xr:uid="{6EE54D68-C494-4CD3-8EC4-419F4ACA97D5}"/>
    <cellStyle name="Normal 9 2 3 3 5 2 4" xfId="12959" xr:uid="{9DC1429F-4EFE-4E31-836E-E4A9DAE1263A}"/>
    <cellStyle name="Normal 9 2 3 3 5 3" xfId="6539" xr:uid="{00000000-0005-0000-0000-0000451F0000}"/>
    <cellStyle name="Normal 9 2 3 3 5 3 2" xfId="23474" xr:uid="{934828AE-FADF-4E1B-A09B-A1CDCD8EEAEC}"/>
    <cellStyle name="Normal 9 2 3 3 5 3 3" xfId="15033" xr:uid="{117D8334-3313-4973-8926-C4C5B8240CF2}"/>
    <cellStyle name="Normal 9 2 3 3 5 4" xfId="19256" xr:uid="{014F5608-61A7-4956-BBC7-6732D0DE70DD}"/>
    <cellStyle name="Normal 9 2 3 3 5 5" xfId="10782" xr:uid="{EFC1C15D-0752-4821-B32A-2C0E54C7173B}"/>
    <cellStyle name="Normal 9 2 3 3 6" xfId="2669" xr:uid="{00000000-0005-0000-0000-0000461F0000}"/>
    <cellStyle name="Normal 9 2 3 3 6 2" xfId="6952" xr:uid="{00000000-0005-0000-0000-0000471F0000}"/>
    <cellStyle name="Normal 9 2 3 3 6 2 2" xfId="23887" xr:uid="{DDE653FD-9B3A-47CC-AB70-639A87E7CD62}"/>
    <cellStyle name="Normal 9 2 3 3 6 2 3" xfId="15446" xr:uid="{DF153E7D-5BF1-432B-90C1-6F4B070F49D0}"/>
    <cellStyle name="Normal 9 2 3 3 6 3" xfId="19669" xr:uid="{A3C9908B-5A6A-4803-9FDF-8BA0978E8AA6}"/>
    <cellStyle name="Normal 9 2 3 3 6 4" xfId="11217" xr:uid="{00DE95E8-81F7-48C1-BA97-4F30E9CCB697}"/>
    <cellStyle name="Normal 9 2 3 3 7" xfId="4887" xr:uid="{00000000-0005-0000-0000-0000481F0000}"/>
    <cellStyle name="Normal 9 2 3 3 7 2" xfId="21822" xr:uid="{764A3202-A7AC-46B5-B382-E40B8FBF8F5D}"/>
    <cellStyle name="Normal 9 2 3 3 7 3" xfId="13381" xr:uid="{840C61F8-52A7-4849-ABDE-067EA7DA9F64}"/>
    <cellStyle name="Normal 9 2 3 3 8" xfId="17604" xr:uid="{F5C6B7C2-F602-4BC9-83DC-E72165BAAED9}"/>
    <cellStyle name="Normal 9 2 3 3 9" xfId="9129" xr:uid="{53728AA9-E1DC-4631-BFCD-23DDBAA5FEC9}"/>
    <cellStyle name="Normal 9 2 3 4" xfId="987" xr:uid="{00000000-0005-0000-0000-0000491F0000}"/>
    <cellStyle name="Normal 9 2 3 4 2" xfId="3220" xr:uid="{00000000-0005-0000-0000-00004A1F0000}"/>
    <cellStyle name="Normal 9 2 3 4 2 2" xfId="7442" xr:uid="{00000000-0005-0000-0000-00004B1F0000}"/>
    <cellStyle name="Normal 9 2 3 4 2 2 2" xfId="24377" xr:uid="{08F03A88-7028-4771-A1E4-3690B7EA0208}"/>
    <cellStyle name="Normal 9 2 3 4 2 2 3" xfId="15936" xr:uid="{60B17950-9A12-4632-B0FE-D2B1BE3D14D7}"/>
    <cellStyle name="Normal 9 2 3 4 2 3" xfId="20159" xr:uid="{A7BE100B-AA06-412E-868F-9DC2B482B9D3}"/>
    <cellStyle name="Normal 9 2 3 4 2 4" xfId="11717" xr:uid="{47E9388E-0FB0-43B5-AA3C-74735EF09569}"/>
    <cellStyle name="Normal 9 2 3 4 3" xfId="5297" xr:uid="{00000000-0005-0000-0000-00004C1F0000}"/>
    <cellStyle name="Normal 9 2 3 4 3 2" xfId="22232" xr:uid="{D210F8B0-060D-417D-A676-A3E38938E689}"/>
    <cellStyle name="Normal 9 2 3 4 3 3" xfId="13791" xr:uid="{9CFB6D6E-4D25-4B89-98EC-0E50333523D8}"/>
    <cellStyle name="Normal 9 2 3 4 4" xfId="18014" xr:uid="{8A32295E-90C4-46E9-98F3-E31606D0DC17}"/>
    <cellStyle name="Normal 9 2 3 4 5" xfId="9540" xr:uid="{4F593DC0-8D97-404E-8253-36CEDE9713EC}"/>
    <cellStyle name="Normal 9 2 3 5" xfId="1403" xr:uid="{00000000-0005-0000-0000-00004D1F0000}"/>
    <cellStyle name="Normal 9 2 3 5 2" xfId="3633" xr:uid="{00000000-0005-0000-0000-00004E1F0000}"/>
    <cellStyle name="Normal 9 2 3 5 2 2" xfId="7855" xr:uid="{00000000-0005-0000-0000-00004F1F0000}"/>
    <cellStyle name="Normal 9 2 3 5 2 2 2" xfId="24790" xr:uid="{09176852-D68F-40F1-9FF0-C59FBC3A4C34}"/>
    <cellStyle name="Normal 9 2 3 5 2 2 3" xfId="16349" xr:uid="{08FCB114-3E1B-4868-8AEE-AD059089B9B1}"/>
    <cellStyle name="Normal 9 2 3 5 2 3" xfId="20572" xr:uid="{9D1F5D12-BAF0-4856-9177-9C0F30B8DDFF}"/>
    <cellStyle name="Normal 9 2 3 5 2 4" xfId="12130" xr:uid="{F3C4A848-4508-44E0-B800-8D566DC1E9AD}"/>
    <cellStyle name="Normal 9 2 3 5 3" xfId="5710" xr:uid="{00000000-0005-0000-0000-0000501F0000}"/>
    <cellStyle name="Normal 9 2 3 5 3 2" xfId="22645" xr:uid="{0825D4E1-C340-4FB4-8776-CE1DE41BB32C}"/>
    <cellStyle name="Normal 9 2 3 5 3 3" xfId="14204" xr:uid="{BC87670A-FE22-460B-A961-6EF46BA7B237}"/>
    <cellStyle name="Normal 9 2 3 5 4" xfId="18427" xr:uid="{802CA647-DEE7-48BC-836B-CBB2D6CDB139}"/>
    <cellStyle name="Normal 9 2 3 5 5" xfId="9953" xr:uid="{A4C61A8E-A141-40B4-AC67-29923ABE036D}"/>
    <cellStyle name="Normal 9 2 3 6" xfId="1816" xr:uid="{00000000-0005-0000-0000-0000511F0000}"/>
    <cellStyle name="Normal 9 2 3 6 2" xfId="4046" xr:uid="{00000000-0005-0000-0000-0000521F0000}"/>
    <cellStyle name="Normal 9 2 3 6 2 2" xfId="8268" xr:uid="{00000000-0005-0000-0000-0000531F0000}"/>
    <cellStyle name="Normal 9 2 3 6 2 2 2" xfId="25203" xr:uid="{76A4F20B-E6D5-4427-8526-CF0F9BD051E7}"/>
    <cellStyle name="Normal 9 2 3 6 2 2 3" xfId="16762" xr:uid="{E1602798-1BE3-4A5D-94D9-7B817F452F59}"/>
    <cellStyle name="Normal 9 2 3 6 2 3" xfId="20985" xr:uid="{B4D5686A-0E26-42B1-9AEE-FB6714CCE3BF}"/>
    <cellStyle name="Normal 9 2 3 6 2 4" xfId="12543" xr:uid="{24238665-47BB-4463-B397-A18DFF819FB6}"/>
    <cellStyle name="Normal 9 2 3 6 3" xfId="6123" xr:uid="{00000000-0005-0000-0000-0000541F0000}"/>
    <cellStyle name="Normal 9 2 3 6 3 2" xfId="23058" xr:uid="{A6BAF718-F82C-40A9-A8A8-AD48FAFEFAA8}"/>
    <cellStyle name="Normal 9 2 3 6 3 3" xfId="14617" xr:uid="{80BAEFD2-2404-4A8F-B373-63274266FF47}"/>
    <cellStyle name="Normal 9 2 3 6 4" xfId="18840" xr:uid="{F733F652-2456-4CCB-A31A-FB10AFF95E33}"/>
    <cellStyle name="Normal 9 2 3 6 5" xfId="10366" xr:uid="{055D03F9-BFEC-4AE4-B5AC-5E6DD5823A65}"/>
    <cellStyle name="Normal 9 2 3 7" xfId="2230" xr:uid="{00000000-0005-0000-0000-0000551F0000}"/>
    <cellStyle name="Normal 9 2 3 7 2" xfId="4459" xr:uid="{00000000-0005-0000-0000-0000561F0000}"/>
    <cellStyle name="Normal 9 2 3 7 2 2" xfId="8681" xr:uid="{00000000-0005-0000-0000-0000571F0000}"/>
    <cellStyle name="Normal 9 2 3 7 2 2 2" xfId="25616" xr:uid="{62BD80C6-8DA9-4C3F-9F50-A1532E2A1F86}"/>
    <cellStyle name="Normal 9 2 3 7 2 2 3" xfId="17175" xr:uid="{679CB838-9697-4428-9BE0-B6CEE4B57B93}"/>
    <cellStyle name="Normal 9 2 3 7 2 3" xfId="21398" xr:uid="{E7E2064A-AD1A-47DF-AB51-A69B5287D601}"/>
    <cellStyle name="Normal 9 2 3 7 2 4" xfId="12956" xr:uid="{5F386C73-AAA4-4343-A752-C852301CB48C}"/>
    <cellStyle name="Normal 9 2 3 7 3" xfId="6536" xr:uid="{00000000-0005-0000-0000-0000581F0000}"/>
    <cellStyle name="Normal 9 2 3 7 3 2" xfId="23471" xr:uid="{A3E8F3E5-DB25-4BF2-AC46-DE9AEB114C57}"/>
    <cellStyle name="Normal 9 2 3 7 3 3" xfId="15030" xr:uid="{6D418EF5-E637-4B08-AA5F-496117EE4337}"/>
    <cellStyle name="Normal 9 2 3 7 4" xfId="19253" xr:uid="{55B550DE-F31E-48D3-886F-ADB82C2E1DE7}"/>
    <cellStyle name="Normal 9 2 3 7 5" xfId="10779" xr:uid="{8C024437-AC29-492C-AC18-BD38901C6CC8}"/>
    <cellStyle name="Normal 9 2 3 8" xfId="2666" xr:uid="{00000000-0005-0000-0000-0000591F0000}"/>
    <cellStyle name="Normal 9 2 3 8 2" xfId="6949" xr:uid="{00000000-0005-0000-0000-00005A1F0000}"/>
    <cellStyle name="Normal 9 2 3 8 2 2" xfId="23884" xr:uid="{EAB6C6DE-D259-4653-B500-D6B8D770F60A}"/>
    <cellStyle name="Normal 9 2 3 8 2 3" xfId="15443" xr:uid="{C5FAA576-077C-43F0-9FDE-FE2A1BC3C14D}"/>
    <cellStyle name="Normal 9 2 3 8 3" xfId="19666" xr:uid="{B5FA3638-0C0A-4B9C-BE59-5A5CF001F2D2}"/>
    <cellStyle name="Normal 9 2 3 8 4" xfId="11214" xr:uid="{003FB9F6-7664-440D-A8A0-0BA877D5CB57}"/>
    <cellStyle name="Normal 9 2 3 9" xfId="4884" xr:uid="{00000000-0005-0000-0000-00005B1F0000}"/>
    <cellStyle name="Normal 9 2 3 9 2" xfId="21819" xr:uid="{757B263E-38D0-4246-B526-FC7445E49D80}"/>
    <cellStyle name="Normal 9 2 3 9 3" xfId="13378" xr:uid="{B6CAE544-6A57-4158-BC81-63509DDBAE71}"/>
    <cellStyle name="Normal 9 2 4" xfId="524" xr:uid="{00000000-0005-0000-0000-00005C1F0000}"/>
    <cellStyle name="Normal 9 2 4 10" xfId="9130" xr:uid="{CBA4CA1D-0665-4420-8E91-9E1CE6BB75BA}"/>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4382" xr:uid="{F71F4D82-8460-40DF-867B-BB3638AF5BF1}"/>
    <cellStyle name="Normal 9 2 4 2 2 2 2 3" xfId="15941" xr:uid="{4CC8AF42-2D00-4850-986C-1CE5768ABEAA}"/>
    <cellStyle name="Normal 9 2 4 2 2 2 3" xfId="20164" xr:uid="{CBB1AB35-7BBE-4237-B587-A3C47236EA39}"/>
    <cellStyle name="Normal 9 2 4 2 2 2 4" xfId="11722" xr:uid="{CCD4BFBD-D0E9-41C5-810F-22897C74AA30}"/>
    <cellStyle name="Normal 9 2 4 2 2 3" xfId="5302" xr:uid="{00000000-0005-0000-0000-0000611F0000}"/>
    <cellStyle name="Normal 9 2 4 2 2 3 2" xfId="22237" xr:uid="{2FEE5C4A-0E59-440B-B8BD-11164AA9A890}"/>
    <cellStyle name="Normal 9 2 4 2 2 3 3" xfId="13796" xr:uid="{64B527CA-9DC5-4C88-8926-29334DB765EC}"/>
    <cellStyle name="Normal 9 2 4 2 2 4" xfId="18019" xr:uid="{EE8102E5-BC53-4F9C-87C9-5640D1959CDD}"/>
    <cellStyle name="Normal 9 2 4 2 2 5" xfId="9545" xr:uid="{C454F97D-180A-466A-AADC-D962B0C69352}"/>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4795" xr:uid="{FE02EA17-7179-4CDD-9EE1-72947610E2FF}"/>
    <cellStyle name="Normal 9 2 4 2 3 2 2 3" xfId="16354" xr:uid="{31ECEA45-510B-4ED5-96C5-474C8CFE2D95}"/>
    <cellStyle name="Normal 9 2 4 2 3 2 3" xfId="20577" xr:uid="{6974B880-3AAD-4625-92C8-C729019BF914}"/>
    <cellStyle name="Normal 9 2 4 2 3 2 4" xfId="12135" xr:uid="{E33FB98A-6A89-4FDF-A445-196A938D0768}"/>
    <cellStyle name="Normal 9 2 4 2 3 3" xfId="5715" xr:uid="{00000000-0005-0000-0000-0000651F0000}"/>
    <cellStyle name="Normal 9 2 4 2 3 3 2" xfId="22650" xr:uid="{CBA9DE97-D3D6-4CBD-BAB9-C46432B1D458}"/>
    <cellStyle name="Normal 9 2 4 2 3 3 3" xfId="14209" xr:uid="{4638A3EF-25C7-46B4-BD4B-E0D6E17C17BA}"/>
    <cellStyle name="Normal 9 2 4 2 3 4" xfId="18432" xr:uid="{61C54BDE-CF2C-47CF-B1A0-685807AED921}"/>
    <cellStyle name="Normal 9 2 4 2 3 5" xfId="9958" xr:uid="{ACFD5F9A-E007-4BDB-BA08-3B897B3FAA04}"/>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5208" xr:uid="{FDCAA078-CE1C-42D3-A4DB-081A188C5C9C}"/>
    <cellStyle name="Normal 9 2 4 2 4 2 2 3" xfId="16767" xr:uid="{DC19C23B-BE23-4696-B753-DB5CC5FB52D3}"/>
    <cellStyle name="Normal 9 2 4 2 4 2 3" xfId="20990" xr:uid="{4937B689-D366-48F8-B415-EA9150EDA592}"/>
    <cellStyle name="Normal 9 2 4 2 4 2 4" xfId="12548" xr:uid="{AE5AC03A-DA91-439D-8808-C281261E5FE7}"/>
    <cellStyle name="Normal 9 2 4 2 4 3" xfId="6128" xr:uid="{00000000-0005-0000-0000-0000691F0000}"/>
    <cellStyle name="Normal 9 2 4 2 4 3 2" xfId="23063" xr:uid="{04430986-5A88-4D69-9FF0-CC3F507274C2}"/>
    <cellStyle name="Normal 9 2 4 2 4 3 3" xfId="14622" xr:uid="{02DCC84A-921A-48D8-ACA5-CF371AB70355}"/>
    <cellStyle name="Normal 9 2 4 2 4 4" xfId="18845" xr:uid="{D3FA1A98-6C35-49D6-A8EE-B930D5D1DD48}"/>
    <cellStyle name="Normal 9 2 4 2 4 5" xfId="10371" xr:uid="{A5A0D476-E5FD-4239-B81C-CC1653B3CA5F}"/>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5621" xr:uid="{D879878E-5288-48C0-BD0C-0BA0187AF09D}"/>
    <cellStyle name="Normal 9 2 4 2 5 2 2 3" xfId="17180" xr:uid="{6D0D68B7-ECD1-4F91-96E0-402CC70276D0}"/>
    <cellStyle name="Normal 9 2 4 2 5 2 3" xfId="21403" xr:uid="{32838DE0-4E9F-4F78-9F16-A246F3E2E9BF}"/>
    <cellStyle name="Normal 9 2 4 2 5 2 4" xfId="12961" xr:uid="{CC33A79A-6504-44D4-A056-D6DD8F50DD2F}"/>
    <cellStyle name="Normal 9 2 4 2 5 3" xfId="6541" xr:uid="{00000000-0005-0000-0000-00006D1F0000}"/>
    <cellStyle name="Normal 9 2 4 2 5 3 2" xfId="23476" xr:uid="{0C0A0563-0E0C-41AA-9510-13BF16885AF5}"/>
    <cellStyle name="Normal 9 2 4 2 5 3 3" xfId="15035" xr:uid="{D360CCB3-E37F-49C3-88CB-A1AEAC1975F5}"/>
    <cellStyle name="Normal 9 2 4 2 5 4" xfId="19258" xr:uid="{A9646131-350E-46B6-B624-910A2CA5BDDC}"/>
    <cellStyle name="Normal 9 2 4 2 5 5" xfId="10784" xr:uid="{4EF806D4-6ABE-4FF7-A025-CF4B731064C0}"/>
    <cellStyle name="Normal 9 2 4 2 6" xfId="2671" xr:uid="{00000000-0005-0000-0000-00006E1F0000}"/>
    <cellStyle name="Normal 9 2 4 2 6 2" xfId="6954" xr:uid="{00000000-0005-0000-0000-00006F1F0000}"/>
    <cellStyle name="Normal 9 2 4 2 6 2 2" xfId="23889" xr:uid="{07CC5880-C83D-4020-ADF4-B70645E46CC4}"/>
    <cellStyle name="Normal 9 2 4 2 6 2 3" xfId="15448" xr:uid="{4E3A1012-1706-4E05-B58E-4A73DBFCCE01}"/>
    <cellStyle name="Normal 9 2 4 2 6 3" xfId="19671" xr:uid="{87D8C6CF-CF7C-4C78-9031-9FA9E48A4DDB}"/>
    <cellStyle name="Normal 9 2 4 2 6 4" xfId="11219" xr:uid="{6A83A034-902F-4A4B-88AA-25E753C8A6CE}"/>
    <cellStyle name="Normal 9 2 4 2 7" xfId="4889" xr:uid="{00000000-0005-0000-0000-0000701F0000}"/>
    <cellStyle name="Normal 9 2 4 2 7 2" xfId="21824" xr:uid="{7FEB3533-C835-4EA9-BAA0-3E02B3BAC070}"/>
    <cellStyle name="Normal 9 2 4 2 7 3" xfId="13383" xr:uid="{558347BE-8863-468C-8103-571645B28450}"/>
    <cellStyle name="Normal 9 2 4 2 8" xfId="17606" xr:uid="{418BD400-E643-4E62-B4AC-569BB94F154C}"/>
    <cellStyle name="Normal 9 2 4 2 9" xfId="9131" xr:uid="{2A3CBC35-5185-46EC-A5BB-77FC1F7CB714}"/>
    <cellStyle name="Normal 9 2 4 3" xfId="991" xr:uid="{00000000-0005-0000-0000-0000711F0000}"/>
    <cellStyle name="Normal 9 2 4 3 2" xfId="3224" xr:uid="{00000000-0005-0000-0000-0000721F0000}"/>
    <cellStyle name="Normal 9 2 4 3 2 2" xfId="7446" xr:uid="{00000000-0005-0000-0000-0000731F0000}"/>
    <cellStyle name="Normal 9 2 4 3 2 2 2" xfId="24381" xr:uid="{6C9E32DA-561B-45B4-9267-1C52842A7E15}"/>
    <cellStyle name="Normal 9 2 4 3 2 2 3" xfId="15940" xr:uid="{4E2B81A2-4799-42A6-AEC6-928FAB406D3C}"/>
    <cellStyle name="Normal 9 2 4 3 2 3" xfId="20163" xr:uid="{FCA1DE51-77FB-4570-BA7A-EF31736230F4}"/>
    <cellStyle name="Normal 9 2 4 3 2 4" xfId="11721" xr:uid="{581BF814-E941-4D27-B3B8-622D071D812F}"/>
    <cellStyle name="Normal 9 2 4 3 3" xfId="5301" xr:uid="{00000000-0005-0000-0000-0000741F0000}"/>
    <cellStyle name="Normal 9 2 4 3 3 2" xfId="22236" xr:uid="{F89BD716-5AC9-4F5F-8B1A-9EDEC0BD1815}"/>
    <cellStyle name="Normal 9 2 4 3 3 3" xfId="13795" xr:uid="{10150D5F-82B5-402F-A180-E5D714FDA55A}"/>
    <cellStyle name="Normal 9 2 4 3 4" xfId="18018" xr:uid="{5132BC0B-3FFD-4A99-B9E6-DAC31FDB7D05}"/>
    <cellStyle name="Normal 9 2 4 3 5" xfId="9544" xr:uid="{A4B112F2-C6A1-41E8-AB09-CBD2096F7E1E}"/>
    <cellStyle name="Normal 9 2 4 4" xfId="1407" xr:uid="{00000000-0005-0000-0000-0000751F0000}"/>
    <cellStyle name="Normal 9 2 4 4 2" xfId="3637" xr:uid="{00000000-0005-0000-0000-0000761F0000}"/>
    <cellStyle name="Normal 9 2 4 4 2 2" xfId="7859" xr:uid="{00000000-0005-0000-0000-0000771F0000}"/>
    <cellStyle name="Normal 9 2 4 4 2 2 2" xfId="24794" xr:uid="{19AAFCCD-6AAA-4628-97CF-001A242E89A0}"/>
    <cellStyle name="Normal 9 2 4 4 2 2 3" xfId="16353" xr:uid="{53539A3C-B9CF-4D41-BA7C-BFCB6DFE66EC}"/>
    <cellStyle name="Normal 9 2 4 4 2 3" xfId="20576" xr:uid="{DECBE968-C1C3-4933-97F4-342DEA74939E}"/>
    <cellStyle name="Normal 9 2 4 4 2 4" xfId="12134" xr:uid="{5F51CD6C-90E2-4730-8050-62F92BA7CF89}"/>
    <cellStyle name="Normal 9 2 4 4 3" xfId="5714" xr:uid="{00000000-0005-0000-0000-0000781F0000}"/>
    <cellStyle name="Normal 9 2 4 4 3 2" xfId="22649" xr:uid="{4CF86C51-A6A5-4391-803C-9F4CE948E100}"/>
    <cellStyle name="Normal 9 2 4 4 3 3" xfId="14208" xr:uid="{FEB34758-71DD-4DA6-89F8-B8CFD805EDD0}"/>
    <cellStyle name="Normal 9 2 4 4 4" xfId="18431" xr:uid="{1D7B8B00-D20D-4C71-BAAC-B341959A1B4F}"/>
    <cellStyle name="Normal 9 2 4 4 5" xfId="9957" xr:uid="{EA680EFA-8EA6-42AF-A0E8-DBF9AB9B5560}"/>
    <cellStyle name="Normal 9 2 4 5" xfId="1820" xr:uid="{00000000-0005-0000-0000-0000791F0000}"/>
    <cellStyle name="Normal 9 2 4 5 2" xfId="4050" xr:uid="{00000000-0005-0000-0000-00007A1F0000}"/>
    <cellStyle name="Normal 9 2 4 5 2 2" xfId="8272" xr:uid="{00000000-0005-0000-0000-00007B1F0000}"/>
    <cellStyle name="Normal 9 2 4 5 2 2 2" xfId="25207" xr:uid="{C165E1EA-448B-4F79-957A-79EABA6BD95B}"/>
    <cellStyle name="Normal 9 2 4 5 2 2 3" xfId="16766" xr:uid="{577F4D83-5889-4093-A720-ACAFE350D46F}"/>
    <cellStyle name="Normal 9 2 4 5 2 3" xfId="20989" xr:uid="{48DE6EDE-2191-4D23-9F51-A4F4CA9E25C2}"/>
    <cellStyle name="Normal 9 2 4 5 2 4" xfId="12547" xr:uid="{DABEB01C-4223-45A8-A73B-E41FCA15DE8F}"/>
    <cellStyle name="Normal 9 2 4 5 3" xfId="6127" xr:uid="{00000000-0005-0000-0000-00007C1F0000}"/>
    <cellStyle name="Normal 9 2 4 5 3 2" xfId="23062" xr:uid="{9BDCA8E4-739E-4A0F-982F-7FDFDD79ADE8}"/>
    <cellStyle name="Normal 9 2 4 5 3 3" xfId="14621" xr:uid="{FC505A92-4252-40C7-82B8-96AC7AFC488A}"/>
    <cellStyle name="Normal 9 2 4 5 4" xfId="18844" xr:uid="{7FAC73D0-2BB5-462F-9AC8-3950BD47B29F}"/>
    <cellStyle name="Normal 9 2 4 5 5" xfId="10370" xr:uid="{8621E5C6-0C66-466D-A86A-9B2BBF45AFCF}"/>
    <cellStyle name="Normal 9 2 4 6" xfId="2234" xr:uid="{00000000-0005-0000-0000-00007D1F0000}"/>
    <cellStyle name="Normal 9 2 4 6 2" xfId="4463" xr:uid="{00000000-0005-0000-0000-00007E1F0000}"/>
    <cellStyle name="Normal 9 2 4 6 2 2" xfId="8685" xr:uid="{00000000-0005-0000-0000-00007F1F0000}"/>
    <cellStyle name="Normal 9 2 4 6 2 2 2" xfId="25620" xr:uid="{C62188EB-BC3C-44A8-A5D5-06BF61CD2A9A}"/>
    <cellStyle name="Normal 9 2 4 6 2 2 3" xfId="17179" xr:uid="{388521B6-7D68-4792-A6A4-D7802723A1AF}"/>
    <cellStyle name="Normal 9 2 4 6 2 3" xfId="21402" xr:uid="{B749187F-BB63-44D6-BE96-9F15F3191809}"/>
    <cellStyle name="Normal 9 2 4 6 2 4" xfId="12960" xr:uid="{F62CBB10-2938-4D1F-B49E-33B9D4F878C7}"/>
    <cellStyle name="Normal 9 2 4 6 3" xfId="6540" xr:uid="{00000000-0005-0000-0000-0000801F0000}"/>
    <cellStyle name="Normal 9 2 4 6 3 2" xfId="23475" xr:uid="{929616D9-EE6A-4043-A293-25CC8AB193F4}"/>
    <cellStyle name="Normal 9 2 4 6 3 3" xfId="15034" xr:uid="{79AB5225-4AA6-4A20-9220-210B1121173D}"/>
    <cellStyle name="Normal 9 2 4 6 4" xfId="19257" xr:uid="{B79B01A4-FAD8-4B77-B93C-B9B551282F40}"/>
    <cellStyle name="Normal 9 2 4 6 5" xfId="10783" xr:uid="{1E205C78-D160-4651-A240-0BFCCD84614F}"/>
    <cellStyle name="Normal 9 2 4 7" xfId="2670" xr:uid="{00000000-0005-0000-0000-0000811F0000}"/>
    <cellStyle name="Normal 9 2 4 7 2" xfId="6953" xr:uid="{00000000-0005-0000-0000-0000821F0000}"/>
    <cellStyle name="Normal 9 2 4 7 2 2" xfId="23888" xr:uid="{0326470E-5FDD-4A30-B8B3-7B334BD22008}"/>
    <cellStyle name="Normal 9 2 4 7 2 3" xfId="15447" xr:uid="{46E5453E-52A2-4B65-A13F-DF5C9B2F46E3}"/>
    <cellStyle name="Normal 9 2 4 7 3" xfId="19670" xr:uid="{686C9FA7-D35D-4DA0-8D50-DAE091DAF491}"/>
    <cellStyle name="Normal 9 2 4 7 4" xfId="11218" xr:uid="{6C62B86D-6428-4463-AE54-9A23AFEDA1B0}"/>
    <cellStyle name="Normal 9 2 4 8" xfId="4888" xr:uid="{00000000-0005-0000-0000-0000831F0000}"/>
    <cellStyle name="Normal 9 2 4 8 2" xfId="21823" xr:uid="{5158D6B0-02E0-436A-ABA9-D7D87DFDB4AD}"/>
    <cellStyle name="Normal 9 2 4 8 3" xfId="13382" xr:uid="{B683D31F-2BB5-4B98-84A1-A2593A61AEC8}"/>
    <cellStyle name="Normal 9 2 4 9" xfId="17605" xr:uid="{E162C6E0-D3C0-4D35-A68D-6F372761EEDF}"/>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4383" xr:uid="{7AB0B7B1-AFC0-4B4E-9762-90873E72084A}"/>
    <cellStyle name="Normal 9 2 5 2 2 2 3" xfId="15942" xr:uid="{3852C085-8B5F-4269-95B7-1BB395E659A9}"/>
    <cellStyle name="Normal 9 2 5 2 2 3" xfId="20165" xr:uid="{D7F41AD5-F6A1-4E74-9DC7-C805702154E9}"/>
    <cellStyle name="Normal 9 2 5 2 2 4" xfId="11723" xr:uid="{78C20B25-D54A-4820-A489-C08700386F55}"/>
    <cellStyle name="Normal 9 2 5 2 3" xfId="5303" xr:uid="{00000000-0005-0000-0000-0000881F0000}"/>
    <cellStyle name="Normal 9 2 5 2 3 2" xfId="22238" xr:uid="{3D1C07F1-8BA1-4BBB-889B-D4B925FA81ED}"/>
    <cellStyle name="Normal 9 2 5 2 3 3" xfId="13797" xr:uid="{31AFF979-35DA-4AAF-A859-32E3F3556F7D}"/>
    <cellStyle name="Normal 9 2 5 2 4" xfId="18020" xr:uid="{3C6F720D-F874-4D83-BD6F-67C8465E0674}"/>
    <cellStyle name="Normal 9 2 5 2 5" xfId="9546" xr:uid="{054E880C-3765-4BC0-A34F-273DDCA95BDD}"/>
    <cellStyle name="Normal 9 2 5 3" xfId="1409" xr:uid="{00000000-0005-0000-0000-0000891F0000}"/>
    <cellStyle name="Normal 9 2 5 3 2" xfId="3639" xr:uid="{00000000-0005-0000-0000-00008A1F0000}"/>
    <cellStyle name="Normal 9 2 5 3 2 2" xfId="7861" xr:uid="{00000000-0005-0000-0000-00008B1F0000}"/>
    <cellStyle name="Normal 9 2 5 3 2 2 2" xfId="24796" xr:uid="{EC70EF05-66DE-4215-A9B2-9CF950AF2213}"/>
    <cellStyle name="Normal 9 2 5 3 2 2 3" xfId="16355" xr:uid="{8CAA00A2-47D8-4392-9F07-234CE1214D67}"/>
    <cellStyle name="Normal 9 2 5 3 2 3" xfId="20578" xr:uid="{BA5227BC-7BE9-4E6D-8735-D646B09F4D06}"/>
    <cellStyle name="Normal 9 2 5 3 2 4" xfId="12136" xr:uid="{2FF1E293-31E6-451A-BDC0-DD7BCF66FBA0}"/>
    <cellStyle name="Normal 9 2 5 3 3" xfId="5716" xr:uid="{00000000-0005-0000-0000-00008C1F0000}"/>
    <cellStyle name="Normal 9 2 5 3 3 2" xfId="22651" xr:uid="{1269A9C0-73CF-453B-BD8D-BF9C3E1BA535}"/>
    <cellStyle name="Normal 9 2 5 3 3 3" xfId="14210" xr:uid="{BAB6D7E5-7615-4039-917E-1A79347B4D12}"/>
    <cellStyle name="Normal 9 2 5 3 4" xfId="18433" xr:uid="{4E01EC1B-D83A-417B-929B-6380D24D9D99}"/>
    <cellStyle name="Normal 9 2 5 3 5" xfId="9959" xr:uid="{571945E3-D6A0-4136-BCD0-23B1FE30F29A}"/>
    <cellStyle name="Normal 9 2 5 4" xfId="1822" xr:uid="{00000000-0005-0000-0000-00008D1F0000}"/>
    <cellStyle name="Normal 9 2 5 4 2" xfId="4052" xr:uid="{00000000-0005-0000-0000-00008E1F0000}"/>
    <cellStyle name="Normal 9 2 5 4 2 2" xfId="8274" xr:uid="{00000000-0005-0000-0000-00008F1F0000}"/>
    <cellStyle name="Normal 9 2 5 4 2 2 2" xfId="25209" xr:uid="{C2043093-C823-4DDD-A565-66C8BD14B6C9}"/>
    <cellStyle name="Normal 9 2 5 4 2 2 3" xfId="16768" xr:uid="{3F863D5D-6494-420D-A0E7-25E766272E00}"/>
    <cellStyle name="Normal 9 2 5 4 2 3" xfId="20991" xr:uid="{B9279F2C-B28B-48CF-A9F6-C915C6D04B0C}"/>
    <cellStyle name="Normal 9 2 5 4 2 4" xfId="12549" xr:uid="{BD8DA1C7-A162-4A06-A5DA-5CF94D321610}"/>
    <cellStyle name="Normal 9 2 5 4 3" xfId="6129" xr:uid="{00000000-0005-0000-0000-0000901F0000}"/>
    <cellStyle name="Normal 9 2 5 4 3 2" xfId="23064" xr:uid="{8C2B033D-83C1-43B8-9908-0B1D1DBF4FCC}"/>
    <cellStyle name="Normal 9 2 5 4 3 3" xfId="14623" xr:uid="{4E35A9F2-E07E-431B-BC74-5D5AE16F9C8C}"/>
    <cellStyle name="Normal 9 2 5 4 4" xfId="18846" xr:uid="{DC0B03FA-F974-4366-8CAF-39CCB30BFCA1}"/>
    <cellStyle name="Normal 9 2 5 4 5" xfId="10372" xr:uid="{CA87A8D4-D182-4B81-87E6-924EBE0B5419}"/>
    <cellStyle name="Normal 9 2 5 5" xfId="2236" xr:uid="{00000000-0005-0000-0000-0000911F0000}"/>
    <cellStyle name="Normal 9 2 5 5 2" xfId="4465" xr:uid="{00000000-0005-0000-0000-0000921F0000}"/>
    <cellStyle name="Normal 9 2 5 5 2 2" xfId="8687" xr:uid="{00000000-0005-0000-0000-0000931F0000}"/>
    <cellStyle name="Normal 9 2 5 5 2 2 2" xfId="25622" xr:uid="{DD1AAFB7-E1D6-432E-8CA0-A4E5DC435F9E}"/>
    <cellStyle name="Normal 9 2 5 5 2 2 3" xfId="17181" xr:uid="{F62A3109-932C-427B-BA53-64673C94DECF}"/>
    <cellStyle name="Normal 9 2 5 5 2 3" xfId="21404" xr:uid="{F2B3A247-AD48-4117-8623-21073E30B84B}"/>
    <cellStyle name="Normal 9 2 5 5 2 4" xfId="12962" xr:uid="{C470A527-D137-49BF-9E75-612F53A2ABF1}"/>
    <cellStyle name="Normal 9 2 5 5 3" xfId="6542" xr:uid="{00000000-0005-0000-0000-0000941F0000}"/>
    <cellStyle name="Normal 9 2 5 5 3 2" xfId="23477" xr:uid="{F5888956-CC7F-4421-8E34-9E69A2570F0E}"/>
    <cellStyle name="Normal 9 2 5 5 3 3" xfId="15036" xr:uid="{EA572DBF-35A7-405A-8C62-3D6BD6F4AA36}"/>
    <cellStyle name="Normal 9 2 5 5 4" xfId="19259" xr:uid="{E834FCD6-C146-4D31-B21D-EB7471C62CF6}"/>
    <cellStyle name="Normal 9 2 5 5 5" xfId="10785" xr:uid="{0853DACD-7762-427B-9A53-696FA69A868F}"/>
    <cellStyle name="Normal 9 2 5 6" xfId="2672" xr:uid="{00000000-0005-0000-0000-0000951F0000}"/>
    <cellStyle name="Normal 9 2 5 6 2" xfId="6955" xr:uid="{00000000-0005-0000-0000-0000961F0000}"/>
    <cellStyle name="Normal 9 2 5 6 2 2" xfId="23890" xr:uid="{2CAD3A48-8FFA-4AC9-84A7-3585010DB11F}"/>
    <cellStyle name="Normal 9 2 5 6 2 3" xfId="15449" xr:uid="{CBA25B1C-7945-4417-AE0F-E80B728690D8}"/>
    <cellStyle name="Normal 9 2 5 6 3" xfId="19672" xr:uid="{AA51D140-12F4-4E44-A3F5-234A301BE6EE}"/>
    <cellStyle name="Normal 9 2 5 6 4" xfId="11220" xr:uid="{922EC3BD-820B-4A78-8627-2C3395D72F69}"/>
    <cellStyle name="Normal 9 2 5 7" xfId="4890" xr:uid="{00000000-0005-0000-0000-0000971F0000}"/>
    <cellStyle name="Normal 9 2 5 7 2" xfId="21825" xr:uid="{337C7BC2-34A0-4234-9033-7141863D3D37}"/>
    <cellStyle name="Normal 9 2 5 7 3" xfId="13384" xr:uid="{4F901577-6401-4754-BD6A-E1014270F9F5}"/>
    <cellStyle name="Normal 9 2 5 8" xfId="17607" xr:uid="{79DA8F3D-E963-46D1-BB5D-C8004DAA7CD0}"/>
    <cellStyle name="Normal 9 2 5 9" xfId="9132" xr:uid="{2818C1C3-5C48-4E17-846F-5EFAAE952E70}"/>
    <cellStyle name="Normal 9 2 6" xfId="978" xr:uid="{00000000-0005-0000-0000-0000981F0000}"/>
    <cellStyle name="Normal 9 2 6 2" xfId="3211" xr:uid="{00000000-0005-0000-0000-0000991F0000}"/>
    <cellStyle name="Normal 9 2 6 2 2" xfId="7433" xr:uid="{00000000-0005-0000-0000-00009A1F0000}"/>
    <cellStyle name="Normal 9 2 6 2 2 2" xfId="24368" xr:uid="{EEBE9E56-B33A-40DA-B36D-031DF89753AB}"/>
    <cellStyle name="Normal 9 2 6 2 2 3" xfId="15927" xr:uid="{EEC94BDA-8744-4B10-9884-E9FF07064FAF}"/>
    <cellStyle name="Normal 9 2 6 2 3" xfId="20150" xr:uid="{4916DAB6-9561-4C13-8F28-EBC8D4EE7F52}"/>
    <cellStyle name="Normal 9 2 6 2 4" xfId="11708" xr:uid="{B32B3CB9-9A7A-44F0-9C18-7F5551331E5A}"/>
    <cellStyle name="Normal 9 2 6 3" xfId="5288" xr:uid="{00000000-0005-0000-0000-00009B1F0000}"/>
    <cellStyle name="Normal 9 2 6 3 2" xfId="22223" xr:uid="{C0180275-292B-4019-AFB6-5A7588ED0C07}"/>
    <cellStyle name="Normal 9 2 6 3 3" xfId="13782" xr:uid="{675CFCA3-683E-4F62-8DCC-02F95CCDBB11}"/>
    <cellStyle name="Normal 9 2 6 4" xfId="18005" xr:uid="{9C880930-F347-430F-BC0D-039B8030B573}"/>
    <cellStyle name="Normal 9 2 6 5" xfId="9531" xr:uid="{1E33FD63-D637-48DD-B699-AE96F325A263}"/>
    <cellStyle name="Normal 9 2 7" xfId="1394" xr:uid="{00000000-0005-0000-0000-00009C1F0000}"/>
    <cellStyle name="Normal 9 2 7 2" xfId="3624" xr:uid="{00000000-0005-0000-0000-00009D1F0000}"/>
    <cellStyle name="Normal 9 2 7 2 2" xfId="7846" xr:uid="{00000000-0005-0000-0000-00009E1F0000}"/>
    <cellStyle name="Normal 9 2 7 2 2 2" xfId="24781" xr:uid="{C750EA93-7DC7-41AF-9192-79A3D5CE3E21}"/>
    <cellStyle name="Normal 9 2 7 2 2 3" xfId="16340" xr:uid="{47E79066-48C6-4CCC-A799-E46D994CCA81}"/>
    <cellStyle name="Normal 9 2 7 2 3" xfId="20563" xr:uid="{CF31C4CE-7777-4876-95D0-E54BE7B2B2F5}"/>
    <cellStyle name="Normal 9 2 7 2 4" xfId="12121" xr:uid="{3AE11E44-5F2C-4D56-8BF6-B5E8C63FBF61}"/>
    <cellStyle name="Normal 9 2 7 3" xfId="5701" xr:uid="{00000000-0005-0000-0000-00009F1F0000}"/>
    <cellStyle name="Normal 9 2 7 3 2" xfId="22636" xr:uid="{08F42857-CB5D-4FB5-8E26-782E1B9221EE}"/>
    <cellStyle name="Normal 9 2 7 3 3" xfId="14195" xr:uid="{3EE3DDCC-B08D-4B2A-9F60-E1E9D04C8D15}"/>
    <cellStyle name="Normal 9 2 7 4" xfId="18418" xr:uid="{97D0D9FA-3EDB-4739-AFCF-8A90756A308F}"/>
    <cellStyle name="Normal 9 2 7 5" xfId="9944" xr:uid="{867011A9-6412-4D66-80E2-7B53ADA8C81D}"/>
    <cellStyle name="Normal 9 2 8" xfId="1807" xr:uid="{00000000-0005-0000-0000-0000A01F0000}"/>
    <cellStyle name="Normal 9 2 8 2" xfId="4037" xr:uid="{00000000-0005-0000-0000-0000A11F0000}"/>
    <cellStyle name="Normal 9 2 8 2 2" xfId="8259" xr:uid="{00000000-0005-0000-0000-0000A21F0000}"/>
    <cellStyle name="Normal 9 2 8 2 2 2" xfId="25194" xr:uid="{D951B082-5EB1-4C74-B388-CFE9567F4E7D}"/>
    <cellStyle name="Normal 9 2 8 2 2 3" xfId="16753" xr:uid="{4CCBB87B-C2B1-48BB-BF9D-3C1420879001}"/>
    <cellStyle name="Normal 9 2 8 2 3" xfId="20976" xr:uid="{918C80D2-D43C-4439-B680-5964477D6C68}"/>
    <cellStyle name="Normal 9 2 8 2 4" xfId="12534" xr:uid="{AAEC40A3-E0E8-4DC4-8706-DF087D1BDA4A}"/>
    <cellStyle name="Normal 9 2 8 3" xfId="6114" xr:uid="{00000000-0005-0000-0000-0000A31F0000}"/>
    <cellStyle name="Normal 9 2 8 3 2" xfId="23049" xr:uid="{455DD31B-957C-4E2A-8567-A4B26766FD76}"/>
    <cellStyle name="Normal 9 2 8 3 3" xfId="14608" xr:uid="{331E8973-B187-4720-A856-7F8AC83B56FF}"/>
    <cellStyle name="Normal 9 2 8 4" xfId="18831" xr:uid="{4694C632-A7DB-4F19-A1CF-EB6557E65DBC}"/>
    <cellStyle name="Normal 9 2 8 5" xfId="10357" xr:uid="{6657ADF5-2076-454A-8FAC-AA7CAF978446}"/>
    <cellStyle name="Normal 9 2 9" xfId="2221" xr:uid="{00000000-0005-0000-0000-0000A41F0000}"/>
    <cellStyle name="Normal 9 2 9 2" xfId="4450" xr:uid="{00000000-0005-0000-0000-0000A51F0000}"/>
    <cellStyle name="Normal 9 2 9 2 2" xfId="8672" xr:uid="{00000000-0005-0000-0000-0000A61F0000}"/>
    <cellStyle name="Normal 9 2 9 2 2 2" xfId="25607" xr:uid="{8C22DBAC-15C4-4481-B312-B6B93006F605}"/>
    <cellStyle name="Normal 9 2 9 2 2 3" xfId="17166" xr:uid="{F9DAB09F-960C-4C72-8783-69C3F13A8350}"/>
    <cellStyle name="Normal 9 2 9 2 3" xfId="21389" xr:uid="{575A77D8-A8EF-49E3-88E5-B0448792C4AE}"/>
    <cellStyle name="Normal 9 2 9 2 4" xfId="12947" xr:uid="{F7FE7469-BB83-4E0A-88AC-F0B9F265286E}"/>
    <cellStyle name="Normal 9 2 9 3" xfId="6527" xr:uid="{00000000-0005-0000-0000-0000A71F0000}"/>
    <cellStyle name="Normal 9 2 9 3 2" xfId="23462" xr:uid="{FCEC7C0C-301E-45BD-B160-B00721791A80}"/>
    <cellStyle name="Normal 9 2 9 3 3" xfId="15021" xr:uid="{7FA43967-2460-468E-875C-34EF31C58664}"/>
    <cellStyle name="Normal 9 2 9 4" xfId="19244" xr:uid="{1E5C8336-4BAE-47E0-A108-A7C44AA3CEEF}"/>
    <cellStyle name="Normal 9 2 9 5" xfId="10770" xr:uid="{241D0497-D2C4-4304-BD41-BC4824FED305}"/>
    <cellStyle name="Normal 9 3" xfId="527" xr:uid="{00000000-0005-0000-0000-0000A81F0000}"/>
    <cellStyle name="Normal 9 3 10" xfId="4891" xr:uid="{00000000-0005-0000-0000-0000A91F0000}"/>
    <cellStyle name="Normal 9 3 10 2" xfId="21826" xr:uid="{81066C3B-1AA0-4F11-8098-6791222C82F3}"/>
    <cellStyle name="Normal 9 3 10 3" xfId="13385" xr:uid="{C9BD6429-2E09-4155-B376-A9486293E85F}"/>
    <cellStyle name="Normal 9 3 11" xfId="17608" xr:uid="{6E208778-E1DC-4518-BA61-84A6AAC471D3}"/>
    <cellStyle name="Normal 9 3 12" xfId="9133" xr:uid="{E0B3D709-BAC5-4F7D-AF10-F9015F9A749C}"/>
    <cellStyle name="Normal 9 3 2" xfId="528" xr:uid="{00000000-0005-0000-0000-0000AA1F0000}"/>
    <cellStyle name="Normal 9 3 2 10" xfId="17609" xr:uid="{741EDB8E-3D79-4A9E-BA5D-29B75949F8C2}"/>
    <cellStyle name="Normal 9 3 2 11" xfId="9134" xr:uid="{BF8A9582-4791-423D-8B91-DD90FFD921FA}"/>
    <cellStyle name="Normal 9 3 2 2" xfId="529" xr:uid="{00000000-0005-0000-0000-0000AB1F0000}"/>
    <cellStyle name="Normal 9 3 2 2 10" xfId="9135" xr:uid="{12B6C39F-E8A3-4CF1-8790-1D64D32BFCEB}"/>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4387" xr:uid="{125EBABD-0DEC-462C-87DA-E1BA29A0A1AB}"/>
    <cellStyle name="Normal 9 3 2 2 2 2 2 2 3" xfId="15946" xr:uid="{E22D3C35-6435-4156-BED9-2E4F8A2B217E}"/>
    <cellStyle name="Normal 9 3 2 2 2 2 2 3" xfId="20169" xr:uid="{17DC2F07-0582-4623-9605-BE2BD988D433}"/>
    <cellStyle name="Normal 9 3 2 2 2 2 2 4" xfId="11727" xr:uid="{E9B8B6B1-D90B-44ED-9238-2BBD213EE63A}"/>
    <cellStyle name="Normal 9 3 2 2 2 2 3" xfId="5307" xr:uid="{00000000-0005-0000-0000-0000B01F0000}"/>
    <cellStyle name="Normal 9 3 2 2 2 2 3 2" xfId="22242" xr:uid="{1D5770D1-9D54-4A60-97F8-AFEAAD8857AA}"/>
    <cellStyle name="Normal 9 3 2 2 2 2 3 3" xfId="13801" xr:uid="{D3433BA5-00FE-4D9D-ADD9-822E7FE0D3F5}"/>
    <cellStyle name="Normal 9 3 2 2 2 2 4" xfId="18024" xr:uid="{EF36D085-8D0C-441A-9AB4-6DAD05749ACA}"/>
    <cellStyle name="Normal 9 3 2 2 2 2 5" xfId="9550" xr:uid="{2F5B6EAE-FC73-4306-AC03-B8728D7AF8CC}"/>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4800" xr:uid="{5D8A5703-A6DE-4B44-B3FE-753229C8657D}"/>
    <cellStyle name="Normal 9 3 2 2 2 3 2 2 3" xfId="16359" xr:uid="{EE1993D0-AAC0-46D9-A111-1B61F68CD27B}"/>
    <cellStyle name="Normal 9 3 2 2 2 3 2 3" xfId="20582" xr:uid="{519C1BF8-D5DE-409C-AA97-4E29A7FE188B}"/>
    <cellStyle name="Normal 9 3 2 2 2 3 2 4" xfId="12140" xr:uid="{EDCE4719-E3C5-47D9-9CAE-0417D9876911}"/>
    <cellStyle name="Normal 9 3 2 2 2 3 3" xfId="5720" xr:uid="{00000000-0005-0000-0000-0000B41F0000}"/>
    <cellStyle name="Normal 9 3 2 2 2 3 3 2" xfId="22655" xr:uid="{1701D94C-8722-4BFB-8AE0-CD5BC83E06A7}"/>
    <cellStyle name="Normal 9 3 2 2 2 3 3 3" xfId="14214" xr:uid="{30B7911D-6512-442E-8D8F-8ADE04A28C0D}"/>
    <cellStyle name="Normal 9 3 2 2 2 3 4" xfId="18437" xr:uid="{8E20F0E4-0B43-4EC8-A1C0-B573D56C6E50}"/>
    <cellStyle name="Normal 9 3 2 2 2 3 5" xfId="9963" xr:uid="{A2422CC8-B0F7-4101-809D-F0A3F6F9748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5213" xr:uid="{967720BC-6992-4551-8FDB-29B37EC6B6F0}"/>
    <cellStyle name="Normal 9 3 2 2 2 4 2 2 3" xfId="16772" xr:uid="{3BAC2C75-5903-4A1C-833A-1F465B7CDCD4}"/>
    <cellStyle name="Normal 9 3 2 2 2 4 2 3" xfId="20995" xr:uid="{AA6D9ACA-4FC9-4616-BD65-9317633E0831}"/>
    <cellStyle name="Normal 9 3 2 2 2 4 2 4" xfId="12553" xr:uid="{06B27D95-561E-451A-ADAD-D1A7B469DE5A}"/>
    <cellStyle name="Normal 9 3 2 2 2 4 3" xfId="6133" xr:uid="{00000000-0005-0000-0000-0000B81F0000}"/>
    <cellStyle name="Normal 9 3 2 2 2 4 3 2" xfId="23068" xr:uid="{F6ABBDCA-A7BC-4703-9EAC-6122942C0108}"/>
    <cellStyle name="Normal 9 3 2 2 2 4 3 3" xfId="14627" xr:uid="{DC3CDF1F-ECA8-43DB-80B7-C4DFFCEE079C}"/>
    <cellStyle name="Normal 9 3 2 2 2 4 4" xfId="18850" xr:uid="{BEEC1840-56A1-4A0F-9B84-AC3A9437A690}"/>
    <cellStyle name="Normal 9 3 2 2 2 4 5" xfId="10376" xr:uid="{C8A4DA75-5395-4068-A574-8F6E61081BB5}"/>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5626" xr:uid="{EEDEA15C-0B44-4F84-B9E4-476994454D6D}"/>
    <cellStyle name="Normal 9 3 2 2 2 5 2 2 3" xfId="17185" xr:uid="{43037F6E-D932-4D87-BCE5-CAF1BE41D4B9}"/>
    <cellStyle name="Normal 9 3 2 2 2 5 2 3" xfId="21408" xr:uid="{8C4C5136-C241-49F5-9F8C-484C30F76341}"/>
    <cellStyle name="Normal 9 3 2 2 2 5 2 4" xfId="12966" xr:uid="{6225A6AF-1AC9-4A84-95D8-2E3527F46CB4}"/>
    <cellStyle name="Normal 9 3 2 2 2 5 3" xfId="6546" xr:uid="{00000000-0005-0000-0000-0000BC1F0000}"/>
    <cellStyle name="Normal 9 3 2 2 2 5 3 2" xfId="23481" xr:uid="{5307622E-8527-4A90-9429-C14EAB75E11C}"/>
    <cellStyle name="Normal 9 3 2 2 2 5 3 3" xfId="15040" xr:uid="{C1830E96-9B1D-4C7F-BB22-9A7C9538C1E5}"/>
    <cellStyle name="Normal 9 3 2 2 2 5 4" xfId="19263" xr:uid="{0A8DAD32-1282-4260-996A-C641C0677938}"/>
    <cellStyle name="Normal 9 3 2 2 2 5 5" xfId="10789" xr:uid="{F04B8EF7-D3D5-46E0-AD58-8033874AA2DA}"/>
    <cellStyle name="Normal 9 3 2 2 2 6" xfId="2676" xr:uid="{00000000-0005-0000-0000-0000BD1F0000}"/>
    <cellStyle name="Normal 9 3 2 2 2 6 2" xfId="6959" xr:uid="{00000000-0005-0000-0000-0000BE1F0000}"/>
    <cellStyle name="Normal 9 3 2 2 2 6 2 2" xfId="23894" xr:uid="{B8A462EA-5B8D-47A4-897E-2206573F094B}"/>
    <cellStyle name="Normal 9 3 2 2 2 6 2 3" xfId="15453" xr:uid="{9393CEB9-4D47-4813-9F7A-3715E387AF80}"/>
    <cellStyle name="Normal 9 3 2 2 2 6 3" xfId="19676" xr:uid="{16765450-06BC-4E5C-9977-4B31AA1B829D}"/>
    <cellStyle name="Normal 9 3 2 2 2 6 4" xfId="11224" xr:uid="{C1510D37-C3CB-4B7C-AA4C-DB0568060C30}"/>
    <cellStyle name="Normal 9 3 2 2 2 7" xfId="4894" xr:uid="{00000000-0005-0000-0000-0000BF1F0000}"/>
    <cellStyle name="Normal 9 3 2 2 2 7 2" xfId="21829" xr:uid="{EAA2F090-8D91-468B-B119-003B848AE468}"/>
    <cellStyle name="Normal 9 3 2 2 2 7 3" xfId="13388" xr:uid="{22062879-91DC-471C-AC7B-DEDBBBC1849B}"/>
    <cellStyle name="Normal 9 3 2 2 2 8" xfId="17611" xr:uid="{88067377-5040-49C4-9A92-6E56EA3BC5CE}"/>
    <cellStyle name="Normal 9 3 2 2 2 9" xfId="9136" xr:uid="{DDF30A0D-B9B3-4285-AD4B-AC0041603419}"/>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4386" xr:uid="{D223C46E-7DF3-4248-9569-417EEDEC3885}"/>
    <cellStyle name="Normal 9 3 2 2 3 2 2 3" xfId="15945" xr:uid="{83184D19-DB84-444A-A530-764983C91AF6}"/>
    <cellStyle name="Normal 9 3 2 2 3 2 3" xfId="20168" xr:uid="{62CC80E7-73E2-4583-B912-B61DC70AEE3F}"/>
    <cellStyle name="Normal 9 3 2 2 3 2 4" xfId="11726" xr:uid="{019C1F56-2C24-493E-9C9C-3F64DEB03805}"/>
    <cellStyle name="Normal 9 3 2 2 3 3" xfId="5306" xr:uid="{00000000-0005-0000-0000-0000C31F0000}"/>
    <cellStyle name="Normal 9 3 2 2 3 3 2" xfId="22241" xr:uid="{EDB3731C-4E1F-4478-9066-F5691EB8AE24}"/>
    <cellStyle name="Normal 9 3 2 2 3 3 3" xfId="13800" xr:uid="{E487B681-7125-4F2E-8E3D-9AB27062F866}"/>
    <cellStyle name="Normal 9 3 2 2 3 4" xfId="18023" xr:uid="{881D24AE-F7F7-4FE8-ADE2-7EB65DD87600}"/>
    <cellStyle name="Normal 9 3 2 2 3 5" xfId="9549" xr:uid="{0CCB7CCF-F50D-45A9-98F3-26B82EE065D2}"/>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4799" xr:uid="{CD867488-7ACF-4716-B59A-1A2F07BBA63F}"/>
    <cellStyle name="Normal 9 3 2 2 4 2 2 3" xfId="16358" xr:uid="{72BAC4C8-7F9D-41B1-A52E-4BF9357E48B9}"/>
    <cellStyle name="Normal 9 3 2 2 4 2 3" xfId="20581" xr:uid="{2C082EC2-E0B2-4C64-812A-F06E914C9D60}"/>
    <cellStyle name="Normal 9 3 2 2 4 2 4" xfId="12139" xr:uid="{67BF6B00-0FDE-49F8-82F9-07B6C07562E7}"/>
    <cellStyle name="Normal 9 3 2 2 4 3" xfId="5719" xr:uid="{00000000-0005-0000-0000-0000C71F0000}"/>
    <cellStyle name="Normal 9 3 2 2 4 3 2" xfId="22654" xr:uid="{D4157717-4308-474F-ADDB-CC45BDC0BAD7}"/>
    <cellStyle name="Normal 9 3 2 2 4 3 3" xfId="14213" xr:uid="{A7093F65-59FB-467F-9BC4-4213E0DBFF85}"/>
    <cellStyle name="Normal 9 3 2 2 4 4" xfId="18436" xr:uid="{1DBA69C3-3BC4-46E0-A3FD-E24ADC456A2E}"/>
    <cellStyle name="Normal 9 3 2 2 4 5" xfId="9962" xr:uid="{19A8F875-106D-47AE-83AF-9D0590F14F04}"/>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5212" xr:uid="{08E93D64-F4FE-4483-8547-E068ACDE66A8}"/>
    <cellStyle name="Normal 9 3 2 2 5 2 2 3" xfId="16771" xr:uid="{FBFBD845-CCC5-4157-936E-CCA6EBCDA46D}"/>
    <cellStyle name="Normal 9 3 2 2 5 2 3" xfId="20994" xr:uid="{170D9034-FE9C-4FCB-AB56-2C2624E8F0D1}"/>
    <cellStyle name="Normal 9 3 2 2 5 2 4" xfId="12552" xr:uid="{82C7E8F7-6704-487D-AD50-11C8515249ED}"/>
    <cellStyle name="Normal 9 3 2 2 5 3" xfId="6132" xr:uid="{00000000-0005-0000-0000-0000CB1F0000}"/>
    <cellStyle name="Normal 9 3 2 2 5 3 2" xfId="23067" xr:uid="{94D72891-DAE4-4BA0-BD02-A6434C0BF201}"/>
    <cellStyle name="Normal 9 3 2 2 5 3 3" xfId="14626" xr:uid="{E14C049A-E9AE-4712-BE55-2B3EB8755D02}"/>
    <cellStyle name="Normal 9 3 2 2 5 4" xfId="18849" xr:uid="{68FF1916-F43B-4322-A3DD-91C329A9F0D9}"/>
    <cellStyle name="Normal 9 3 2 2 5 5" xfId="10375" xr:uid="{843A6539-4741-4BAC-A7D5-7BEA8E6D0002}"/>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5625" xr:uid="{B546F5E6-BB81-4FF5-A919-6323E8078EBC}"/>
    <cellStyle name="Normal 9 3 2 2 6 2 2 3" xfId="17184" xr:uid="{6A8D2003-C6AE-4E10-A39C-C84D1E090FB0}"/>
    <cellStyle name="Normal 9 3 2 2 6 2 3" xfId="21407" xr:uid="{89E96F99-C7F9-4BB2-8F2E-E755920B4BDA}"/>
    <cellStyle name="Normal 9 3 2 2 6 2 4" xfId="12965" xr:uid="{EB5456E6-82A6-4769-9444-ABCFE05AD34F}"/>
    <cellStyle name="Normal 9 3 2 2 6 3" xfId="6545" xr:uid="{00000000-0005-0000-0000-0000CF1F0000}"/>
    <cellStyle name="Normal 9 3 2 2 6 3 2" xfId="23480" xr:uid="{13B5A9F5-02E7-44B3-9767-3603F7FB16B7}"/>
    <cellStyle name="Normal 9 3 2 2 6 3 3" xfId="15039" xr:uid="{5796C58C-3F36-4956-BE55-708C4B333415}"/>
    <cellStyle name="Normal 9 3 2 2 6 4" xfId="19262" xr:uid="{D1D08F6D-B340-45C1-B335-BF4903322316}"/>
    <cellStyle name="Normal 9 3 2 2 6 5" xfId="10788" xr:uid="{AEC44334-942D-407C-A02E-AB203F93D55D}"/>
    <cellStyle name="Normal 9 3 2 2 7" xfId="2675" xr:uid="{00000000-0005-0000-0000-0000D01F0000}"/>
    <cellStyle name="Normal 9 3 2 2 7 2" xfId="6958" xr:uid="{00000000-0005-0000-0000-0000D11F0000}"/>
    <cellStyle name="Normal 9 3 2 2 7 2 2" xfId="23893" xr:uid="{07678473-27C2-4067-9BFD-0C08A72E319C}"/>
    <cellStyle name="Normal 9 3 2 2 7 2 3" xfId="15452" xr:uid="{A1269873-E17A-422F-92EA-8B2EB9E377A2}"/>
    <cellStyle name="Normal 9 3 2 2 7 3" xfId="19675" xr:uid="{5A30DC26-872E-4637-BE18-20118D767783}"/>
    <cellStyle name="Normal 9 3 2 2 7 4" xfId="11223" xr:uid="{196E4B84-CA9D-43B3-9D1C-15EB575BCBFA}"/>
    <cellStyle name="Normal 9 3 2 2 8" xfId="4893" xr:uid="{00000000-0005-0000-0000-0000D21F0000}"/>
    <cellStyle name="Normal 9 3 2 2 8 2" xfId="21828" xr:uid="{F0F601B0-0659-4500-9F59-C53430B1CAEF}"/>
    <cellStyle name="Normal 9 3 2 2 8 3" xfId="13387" xr:uid="{B8C51FFA-0E25-40BE-BB02-7BC4F46DC011}"/>
    <cellStyle name="Normal 9 3 2 2 9" xfId="17610" xr:uid="{6807245F-CE75-4F39-8B0D-4FE39133544A}"/>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4388" xr:uid="{1415163D-B4E4-4CEB-B151-0BD23FC4B564}"/>
    <cellStyle name="Normal 9 3 2 3 2 2 2 3" xfId="15947" xr:uid="{0A4262FA-15D5-4FCF-A656-535B46A3BB1C}"/>
    <cellStyle name="Normal 9 3 2 3 2 2 3" xfId="20170" xr:uid="{C1F1BA23-9F23-4BCE-A826-2A17B079F6B4}"/>
    <cellStyle name="Normal 9 3 2 3 2 2 4" xfId="11728" xr:uid="{F514F847-73DA-4342-BD6A-D68CE5A51540}"/>
    <cellStyle name="Normal 9 3 2 3 2 3" xfId="5308" xr:uid="{00000000-0005-0000-0000-0000D71F0000}"/>
    <cellStyle name="Normal 9 3 2 3 2 3 2" xfId="22243" xr:uid="{76479B7D-6AE9-4D39-87F0-50D629BAF6DD}"/>
    <cellStyle name="Normal 9 3 2 3 2 3 3" xfId="13802" xr:uid="{75FF3C3F-6E3B-4F4C-BC0E-1A22418193E5}"/>
    <cellStyle name="Normal 9 3 2 3 2 4" xfId="18025" xr:uid="{54911DBB-D64E-4BDA-9A06-DF404EC87C5D}"/>
    <cellStyle name="Normal 9 3 2 3 2 5" xfId="9551" xr:uid="{4E94A833-D51A-459B-A390-6F3FB33DB267}"/>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4801" xr:uid="{27C327AA-9EDE-47FA-8FA7-1EA16BAEAF93}"/>
    <cellStyle name="Normal 9 3 2 3 3 2 2 3" xfId="16360" xr:uid="{842C6045-BD64-4D4A-96A0-5233004E82E4}"/>
    <cellStyle name="Normal 9 3 2 3 3 2 3" xfId="20583" xr:uid="{D4D6B9FB-AA0C-4E4A-A4DE-81AE14B2BE8F}"/>
    <cellStyle name="Normal 9 3 2 3 3 2 4" xfId="12141" xr:uid="{1947C497-9B1C-419C-8791-8A42D5B475AC}"/>
    <cellStyle name="Normal 9 3 2 3 3 3" xfId="5721" xr:uid="{00000000-0005-0000-0000-0000DB1F0000}"/>
    <cellStyle name="Normal 9 3 2 3 3 3 2" xfId="22656" xr:uid="{2F3FA576-2DDE-4B97-BEA6-9B30486CFF59}"/>
    <cellStyle name="Normal 9 3 2 3 3 3 3" xfId="14215" xr:uid="{286C3208-9670-4073-A194-8A4DAE48AEDE}"/>
    <cellStyle name="Normal 9 3 2 3 3 4" xfId="18438" xr:uid="{6E9DE401-7A12-4FE0-9137-06A1B4F93421}"/>
    <cellStyle name="Normal 9 3 2 3 3 5" xfId="9964" xr:uid="{97647BE3-BD47-4C0B-A274-CC80F5B3EC0B}"/>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5214" xr:uid="{1B5F7AE1-B1AC-415C-AED0-1A98DB649712}"/>
    <cellStyle name="Normal 9 3 2 3 4 2 2 3" xfId="16773" xr:uid="{3B5F1764-D0C5-4E45-97EB-B6046CDFA8D4}"/>
    <cellStyle name="Normal 9 3 2 3 4 2 3" xfId="20996" xr:uid="{CFA0C04D-6D21-4868-9B1B-B188EC7B3E0E}"/>
    <cellStyle name="Normal 9 3 2 3 4 2 4" xfId="12554" xr:uid="{245AE318-0B57-4916-90E4-14BC2E242823}"/>
    <cellStyle name="Normal 9 3 2 3 4 3" xfId="6134" xr:uid="{00000000-0005-0000-0000-0000DF1F0000}"/>
    <cellStyle name="Normal 9 3 2 3 4 3 2" xfId="23069" xr:uid="{F46EEA19-26F6-46BB-95D5-4DEA6C335675}"/>
    <cellStyle name="Normal 9 3 2 3 4 3 3" xfId="14628" xr:uid="{5BD7F0B8-10ED-434D-96CB-0E26019D9BDC}"/>
    <cellStyle name="Normal 9 3 2 3 4 4" xfId="18851" xr:uid="{8DEDA614-D6D9-4C1E-A3EF-A95FF871F550}"/>
    <cellStyle name="Normal 9 3 2 3 4 5" xfId="10377" xr:uid="{297CF5FC-A891-4ABC-A359-C6B9F119775A}"/>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5627" xr:uid="{4ECB6A85-BE27-4AEA-8399-6BB6C93588B9}"/>
    <cellStyle name="Normal 9 3 2 3 5 2 2 3" xfId="17186" xr:uid="{B1C9B457-F7ED-497C-9004-7834F4416428}"/>
    <cellStyle name="Normal 9 3 2 3 5 2 3" xfId="21409" xr:uid="{D63F8CA2-082C-4895-A856-AB1C6B28E1BC}"/>
    <cellStyle name="Normal 9 3 2 3 5 2 4" xfId="12967" xr:uid="{86289095-84F8-4428-BBB7-FA8ABC74868C}"/>
    <cellStyle name="Normal 9 3 2 3 5 3" xfId="6547" xr:uid="{00000000-0005-0000-0000-0000E31F0000}"/>
    <cellStyle name="Normal 9 3 2 3 5 3 2" xfId="23482" xr:uid="{11F4C93C-8D6A-4D91-A6A3-20F1ECEF6F91}"/>
    <cellStyle name="Normal 9 3 2 3 5 3 3" xfId="15041" xr:uid="{C5226000-157E-46E9-88B2-210078C82943}"/>
    <cellStyle name="Normal 9 3 2 3 5 4" xfId="19264" xr:uid="{9D1AC295-E24E-45C4-AB0A-D287EFC04A24}"/>
    <cellStyle name="Normal 9 3 2 3 5 5" xfId="10790" xr:uid="{CC1B7094-2961-4A93-81B7-0EC451FCE72B}"/>
    <cellStyle name="Normal 9 3 2 3 6" xfId="2677" xr:uid="{00000000-0005-0000-0000-0000E41F0000}"/>
    <cellStyle name="Normal 9 3 2 3 6 2" xfId="6960" xr:uid="{00000000-0005-0000-0000-0000E51F0000}"/>
    <cellStyle name="Normal 9 3 2 3 6 2 2" xfId="23895" xr:uid="{68F748FB-AB86-4FFF-949D-18D0938A5760}"/>
    <cellStyle name="Normal 9 3 2 3 6 2 3" xfId="15454" xr:uid="{4CBF388E-D8F6-4B95-ABA1-FC9F7971E5BB}"/>
    <cellStyle name="Normal 9 3 2 3 6 3" xfId="19677" xr:uid="{FFE3FB0D-B4A8-49BA-91D4-0B4548EB136E}"/>
    <cellStyle name="Normal 9 3 2 3 6 4" xfId="11225" xr:uid="{9F2E287A-92C0-4E4C-8431-F5BA8D17A412}"/>
    <cellStyle name="Normal 9 3 2 3 7" xfId="4895" xr:uid="{00000000-0005-0000-0000-0000E61F0000}"/>
    <cellStyle name="Normal 9 3 2 3 7 2" xfId="21830" xr:uid="{3386F04F-0949-4376-8453-19231867A8B8}"/>
    <cellStyle name="Normal 9 3 2 3 7 3" xfId="13389" xr:uid="{B567406B-A94B-42FF-8586-3D3CD35AFFD2}"/>
    <cellStyle name="Normal 9 3 2 3 8" xfId="17612" xr:uid="{202DBFA0-38FB-4A7A-9E4E-B3C1B5060C55}"/>
    <cellStyle name="Normal 9 3 2 3 9" xfId="9137" xr:uid="{605889CB-8B2E-4498-A8A2-F28E5AAB5034}"/>
    <cellStyle name="Normal 9 3 2 4" xfId="995" xr:uid="{00000000-0005-0000-0000-0000E71F0000}"/>
    <cellStyle name="Normal 9 3 2 4 2" xfId="3228" xr:uid="{00000000-0005-0000-0000-0000E81F0000}"/>
    <cellStyle name="Normal 9 3 2 4 2 2" xfId="7450" xr:uid="{00000000-0005-0000-0000-0000E91F0000}"/>
    <cellStyle name="Normal 9 3 2 4 2 2 2" xfId="24385" xr:uid="{60ED9395-F7AB-4B18-B377-5AB865082B55}"/>
    <cellStyle name="Normal 9 3 2 4 2 2 3" xfId="15944" xr:uid="{76E5D44F-F8B9-4DAE-97DB-05A5A3968D19}"/>
    <cellStyle name="Normal 9 3 2 4 2 3" xfId="20167" xr:uid="{6AB788AB-4B95-4C01-9B63-853937A27468}"/>
    <cellStyle name="Normal 9 3 2 4 2 4" xfId="11725" xr:uid="{52F11FE5-B794-404D-9DF9-B39F31B6D8FC}"/>
    <cellStyle name="Normal 9 3 2 4 3" xfId="5305" xr:uid="{00000000-0005-0000-0000-0000EA1F0000}"/>
    <cellStyle name="Normal 9 3 2 4 3 2" xfId="22240" xr:uid="{884B62B4-4475-4DDD-8812-C53789743808}"/>
    <cellStyle name="Normal 9 3 2 4 3 3" xfId="13799" xr:uid="{5594E4F6-F354-44B6-8A6E-E9BB25543E5A}"/>
    <cellStyle name="Normal 9 3 2 4 4" xfId="18022" xr:uid="{727854C6-1E43-44B5-8DCE-64A660E1478D}"/>
    <cellStyle name="Normal 9 3 2 4 5" xfId="9548" xr:uid="{36DE047C-C17D-4B61-9A48-4FF606666D7B}"/>
    <cellStyle name="Normal 9 3 2 5" xfId="1411" xr:uid="{00000000-0005-0000-0000-0000EB1F0000}"/>
    <cellStyle name="Normal 9 3 2 5 2" xfId="3641" xr:uid="{00000000-0005-0000-0000-0000EC1F0000}"/>
    <cellStyle name="Normal 9 3 2 5 2 2" xfId="7863" xr:uid="{00000000-0005-0000-0000-0000ED1F0000}"/>
    <cellStyle name="Normal 9 3 2 5 2 2 2" xfId="24798" xr:uid="{EF703CFB-4C00-4E1B-AA5F-3E03171E8965}"/>
    <cellStyle name="Normal 9 3 2 5 2 2 3" xfId="16357" xr:uid="{B2A9B055-DE02-4DB5-B92B-FC7D383E5DAB}"/>
    <cellStyle name="Normal 9 3 2 5 2 3" xfId="20580" xr:uid="{02205409-95F7-4DD0-AEDA-024F659E9356}"/>
    <cellStyle name="Normal 9 3 2 5 2 4" xfId="12138" xr:uid="{A372E688-1E30-4914-A6C7-E5FDF8A391FE}"/>
    <cellStyle name="Normal 9 3 2 5 3" xfId="5718" xr:uid="{00000000-0005-0000-0000-0000EE1F0000}"/>
    <cellStyle name="Normal 9 3 2 5 3 2" xfId="22653" xr:uid="{8BD6354A-FDCD-4F82-9BCF-7FAD2437271E}"/>
    <cellStyle name="Normal 9 3 2 5 3 3" xfId="14212" xr:uid="{E3832A90-6464-447A-A946-DF1ACE1DFFD9}"/>
    <cellStyle name="Normal 9 3 2 5 4" xfId="18435" xr:uid="{3142A6C4-F21B-4F27-8E21-E51226FC0917}"/>
    <cellStyle name="Normal 9 3 2 5 5" xfId="9961" xr:uid="{EB3E35F8-1126-426E-A797-33BF75B2EAB5}"/>
    <cellStyle name="Normal 9 3 2 6" xfId="1824" xr:uid="{00000000-0005-0000-0000-0000EF1F0000}"/>
    <cellStyle name="Normal 9 3 2 6 2" xfId="4054" xr:uid="{00000000-0005-0000-0000-0000F01F0000}"/>
    <cellStyle name="Normal 9 3 2 6 2 2" xfId="8276" xr:uid="{00000000-0005-0000-0000-0000F11F0000}"/>
    <cellStyle name="Normal 9 3 2 6 2 2 2" xfId="25211" xr:uid="{A1DE8791-977A-4AFD-AEE1-B0108821CBE4}"/>
    <cellStyle name="Normal 9 3 2 6 2 2 3" xfId="16770" xr:uid="{C1B1C584-AB9D-4A94-AFF6-37C2E0C6465A}"/>
    <cellStyle name="Normal 9 3 2 6 2 3" xfId="20993" xr:uid="{3D56009D-ECD9-47AA-A7DD-5F2365568ADE}"/>
    <cellStyle name="Normal 9 3 2 6 2 4" xfId="12551" xr:uid="{C31B19AC-55CC-4757-ACD6-CB696105816D}"/>
    <cellStyle name="Normal 9 3 2 6 3" xfId="6131" xr:uid="{00000000-0005-0000-0000-0000F21F0000}"/>
    <cellStyle name="Normal 9 3 2 6 3 2" xfId="23066" xr:uid="{F8095E64-891A-4505-9120-2FE1B26103F6}"/>
    <cellStyle name="Normal 9 3 2 6 3 3" xfId="14625" xr:uid="{7212EB5C-C546-4AAE-B263-4B820D63ECB4}"/>
    <cellStyle name="Normal 9 3 2 6 4" xfId="18848" xr:uid="{1533D823-589C-4295-936C-838C827745F6}"/>
    <cellStyle name="Normal 9 3 2 6 5" xfId="10374" xr:uid="{31EC3CB9-9B28-42CE-8A68-2D51416A1351}"/>
    <cellStyle name="Normal 9 3 2 7" xfId="2238" xr:uid="{00000000-0005-0000-0000-0000F31F0000}"/>
    <cellStyle name="Normal 9 3 2 7 2" xfId="4467" xr:uid="{00000000-0005-0000-0000-0000F41F0000}"/>
    <cellStyle name="Normal 9 3 2 7 2 2" xfId="8689" xr:uid="{00000000-0005-0000-0000-0000F51F0000}"/>
    <cellStyle name="Normal 9 3 2 7 2 2 2" xfId="25624" xr:uid="{9D15B56D-F345-4862-9C77-A599DDD794B2}"/>
    <cellStyle name="Normal 9 3 2 7 2 2 3" xfId="17183" xr:uid="{709968BA-DD99-4548-BE48-D91750218780}"/>
    <cellStyle name="Normal 9 3 2 7 2 3" xfId="21406" xr:uid="{6C6D1E97-C2E8-4ECF-B8E0-C54FA7B32814}"/>
    <cellStyle name="Normal 9 3 2 7 2 4" xfId="12964" xr:uid="{7140924B-1FD5-46B9-B5DC-700B8838F963}"/>
    <cellStyle name="Normal 9 3 2 7 3" xfId="6544" xr:uid="{00000000-0005-0000-0000-0000F61F0000}"/>
    <cellStyle name="Normal 9 3 2 7 3 2" xfId="23479" xr:uid="{1546E352-D77B-4FFC-9563-D3271A7E6044}"/>
    <cellStyle name="Normal 9 3 2 7 3 3" xfId="15038" xr:uid="{7A4C2327-0B63-4DDB-9CBD-1EDF680F869A}"/>
    <cellStyle name="Normal 9 3 2 7 4" xfId="19261" xr:uid="{5C723A1D-8346-4B8E-8DB4-8847784392C4}"/>
    <cellStyle name="Normal 9 3 2 7 5" xfId="10787" xr:uid="{6F768EAE-418D-4C3A-9C09-837FBD9B8F7B}"/>
    <cellStyle name="Normal 9 3 2 8" xfId="2674" xr:uid="{00000000-0005-0000-0000-0000F71F0000}"/>
    <cellStyle name="Normal 9 3 2 8 2" xfId="6957" xr:uid="{00000000-0005-0000-0000-0000F81F0000}"/>
    <cellStyle name="Normal 9 3 2 8 2 2" xfId="23892" xr:uid="{0ED98EAB-04BE-401A-A7FE-6F74D6B9A128}"/>
    <cellStyle name="Normal 9 3 2 8 2 3" xfId="15451" xr:uid="{B26794F8-C83C-402E-A084-6606120010FF}"/>
    <cellStyle name="Normal 9 3 2 8 3" xfId="19674" xr:uid="{4E52B31C-DED5-48F6-9527-0D870367C66A}"/>
    <cellStyle name="Normal 9 3 2 8 4" xfId="11222" xr:uid="{F31B92BA-8A31-417E-9702-42673F56B5B6}"/>
    <cellStyle name="Normal 9 3 2 9" xfId="4892" xr:uid="{00000000-0005-0000-0000-0000F91F0000}"/>
    <cellStyle name="Normal 9 3 2 9 2" xfId="21827" xr:uid="{DE20C6DC-7E68-4A33-93A1-BB7DA567F4B7}"/>
    <cellStyle name="Normal 9 3 2 9 3" xfId="13386" xr:uid="{A5ACDD5C-A302-4E7F-B668-5DD2A1AA4E5E}"/>
    <cellStyle name="Normal 9 3 3" xfId="532" xr:uid="{00000000-0005-0000-0000-0000FA1F0000}"/>
    <cellStyle name="Normal 9 3 3 10" xfId="9138" xr:uid="{F997BD92-F386-420D-A34A-C7BBB9E95D2B}"/>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4390" xr:uid="{558DC89F-EA0D-4E10-A9E6-C71F34DB73A8}"/>
    <cellStyle name="Normal 9 3 3 2 2 2 2 3" xfId="15949" xr:uid="{83B28A67-3805-4C1F-B545-8B684E1A7DE1}"/>
    <cellStyle name="Normal 9 3 3 2 2 2 3" xfId="20172" xr:uid="{DD1A3133-E5A9-4FB5-B705-89E80D2F9D1E}"/>
    <cellStyle name="Normal 9 3 3 2 2 2 4" xfId="11730" xr:uid="{A4EE7BED-C272-43E9-9367-3042E6446126}"/>
    <cellStyle name="Normal 9 3 3 2 2 3" xfId="5310" xr:uid="{00000000-0005-0000-0000-0000FF1F0000}"/>
    <cellStyle name="Normal 9 3 3 2 2 3 2" xfId="22245" xr:uid="{8B731E20-FEB2-4582-A9FC-9D65D55ACC18}"/>
    <cellStyle name="Normal 9 3 3 2 2 3 3" xfId="13804" xr:uid="{B0189CDB-BFC7-48D2-8A72-CC720A0AF3FE}"/>
    <cellStyle name="Normal 9 3 3 2 2 4" xfId="18027" xr:uid="{22123844-1057-446B-9871-528B236938AA}"/>
    <cellStyle name="Normal 9 3 3 2 2 5" xfId="9553" xr:uid="{15DC7B61-DB72-475F-ADCD-81ED84FE6EF6}"/>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4803" xr:uid="{E0684D17-E308-4B03-8339-732E12551DD4}"/>
    <cellStyle name="Normal 9 3 3 2 3 2 2 3" xfId="16362" xr:uid="{B3722AB7-5E73-4B01-ACA1-1E19D4012DDA}"/>
    <cellStyle name="Normal 9 3 3 2 3 2 3" xfId="20585" xr:uid="{46ED760B-CA3C-432F-81EF-77C2B03A4474}"/>
    <cellStyle name="Normal 9 3 3 2 3 2 4" xfId="12143" xr:uid="{001D2AFA-4CDE-48DB-8042-2C02759B4CFE}"/>
    <cellStyle name="Normal 9 3 3 2 3 3" xfId="5723" xr:uid="{00000000-0005-0000-0000-000003200000}"/>
    <cellStyle name="Normal 9 3 3 2 3 3 2" xfId="22658" xr:uid="{AC853DA1-559E-4398-8954-44F8FB478897}"/>
    <cellStyle name="Normal 9 3 3 2 3 3 3" xfId="14217" xr:uid="{94A32CE9-23E2-4B09-B6F7-CCD9C8C97822}"/>
    <cellStyle name="Normal 9 3 3 2 3 4" xfId="18440" xr:uid="{D3E13BFB-8B99-4F25-845C-D960768163D6}"/>
    <cellStyle name="Normal 9 3 3 2 3 5" xfId="9966" xr:uid="{B9BBEE50-0BC5-462F-83C3-03CC15660AE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5216" xr:uid="{E3DB682B-3AD3-428D-86B4-74E71027A299}"/>
    <cellStyle name="Normal 9 3 3 2 4 2 2 3" xfId="16775" xr:uid="{8BC39C7E-CA0F-4364-B8CE-619466805D6D}"/>
    <cellStyle name="Normal 9 3 3 2 4 2 3" xfId="20998" xr:uid="{476E8208-B0E6-4D1C-AFFF-95831611C110}"/>
    <cellStyle name="Normal 9 3 3 2 4 2 4" xfId="12556" xr:uid="{E5AC63DC-5B41-457C-A823-A7027AFB8D9E}"/>
    <cellStyle name="Normal 9 3 3 2 4 3" xfId="6136" xr:uid="{00000000-0005-0000-0000-000007200000}"/>
    <cellStyle name="Normal 9 3 3 2 4 3 2" xfId="23071" xr:uid="{B851528C-3B1D-440A-BB0A-962BACEBB2BE}"/>
    <cellStyle name="Normal 9 3 3 2 4 3 3" xfId="14630" xr:uid="{FBEC2729-F16E-4BE6-BF4D-560ECB50BCE2}"/>
    <cellStyle name="Normal 9 3 3 2 4 4" xfId="18853" xr:uid="{73257BD8-3EF4-4252-BAAC-C5F825304EEE}"/>
    <cellStyle name="Normal 9 3 3 2 4 5" xfId="10379" xr:uid="{DDDD2FF5-2AE1-425D-BDD4-624E9462B041}"/>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5629" xr:uid="{DD32AB12-52A5-47D2-B2BC-69AE5269EB45}"/>
    <cellStyle name="Normal 9 3 3 2 5 2 2 3" xfId="17188" xr:uid="{2B0EB637-C6E8-4085-B5E6-518B4E6F2D2A}"/>
    <cellStyle name="Normal 9 3 3 2 5 2 3" xfId="21411" xr:uid="{CB5EA919-8BD4-4400-9B4B-97AF83CA5EE8}"/>
    <cellStyle name="Normal 9 3 3 2 5 2 4" xfId="12969" xr:uid="{4B2E0552-60E1-45C6-A491-82A2AD10A758}"/>
    <cellStyle name="Normal 9 3 3 2 5 3" xfId="6549" xr:uid="{00000000-0005-0000-0000-00000B200000}"/>
    <cellStyle name="Normal 9 3 3 2 5 3 2" xfId="23484" xr:uid="{26041E17-BF99-4264-9545-740E350337FB}"/>
    <cellStyle name="Normal 9 3 3 2 5 3 3" xfId="15043" xr:uid="{CFA11A89-D62E-4FA1-826F-671CD16B2F52}"/>
    <cellStyle name="Normal 9 3 3 2 5 4" xfId="19266" xr:uid="{BA04C50F-E9D6-43B7-892D-0AFFFDF6B3D5}"/>
    <cellStyle name="Normal 9 3 3 2 5 5" xfId="10792" xr:uid="{668FC1D9-E0B9-4FCD-A4BB-4AA34ECE7A30}"/>
    <cellStyle name="Normal 9 3 3 2 6" xfId="2679" xr:uid="{00000000-0005-0000-0000-00000C200000}"/>
    <cellStyle name="Normal 9 3 3 2 6 2" xfId="6962" xr:uid="{00000000-0005-0000-0000-00000D200000}"/>
    <cellStyle name="Normal 9 3 3 2 6 2 2" xfId="23897" xr:uid="{88945039-B6F5-4072-890E-8C625723F402}"/>
    <cellStyle name="Normal 9 3 3 2 6 2 3" xfId="15456" xr:uid="{953BDDB0-1562-4FA4-B044-4DAA34F11E90}"/>
    <cellStyle name="Normal 9 3 3 2 6 3" xfId="19679" xr:uid="{17D433F2-8AB5-44FF-932E-5E884C04E773}"/>
    <cellStyle name="Normal 9 3 3 2 6 4" xfId="11227" xr:uid="{6FEEC73E-8B09-4937-A44B-8DDA027F5C5F}"/>
    <cellStyle name="Normal 9 3 3 2 7" xfId="4897" xr:uid="{00000000-0005-0000-0000-00000E200000}"/>
    <cellStyle name="Normal 9 3 3 2 7 2" xfId="21832" xr:uid="{4F0EE452-2DDB-4D20-A353-B0287C8C137B}"/>
    <cellStyle name="Normal 9 3 3 2 7 3" xfId="13391" xr:uid="{DC3F2874-5B0E-410D-9930-3189616D3D4E}"/>
    <cellStyle name="Normal 9 3 3 2 8" xfId="17614" xr:uid="{23A238F2-314B-4987-BE72-14A6C9C59550}"/>
    <cellStyle name="Normal 9 3 3 2 9" xfId="9139" xr:uid="{C0614512-2909-496C-88F5-D8092BAAE1C3}"/>
    <cellStyle name="Normal 9 3 3 3" xfId="999" xr:uid="{00000000-0005-0000-0000-00000F200000}"/>
    <cellStyle name="Normal 9 3 3 3 2" xfId="3232" xr:uid="{00000000-0005-0000-0000-000010200000}"/>
    <cellStyle name="Normal 9 3 3 3 2 2" xfId="7454" xr:uid="{00000000-0005-0000-0000-000011200000}"/>
    <cellStyle name="Normal 9 3 3 3 2 2 2" xfId="24389" xr:uid="{69C2D057-588F-47EF-8847-2DD10465C2AD}"/>
    <cellStyle name="Normal 9 3 3 3 2 2 3" xfId="15948" xr:uid="{53898DAB-A834-40E6-A0F7-F03DEA135B94}"/>
    <cellStyle name="Normal 9 3 3 3 2 3" xfId="20171" xr:uid="{68C9C557-75AB-4F3F-832E-5943F51B87EE}"/>
    <cellStyle name="Normal 9 3 3 3 2 4" xfId="11729" xr:uid="{C28D50D3-47C0-4269-A406-5B4155AC2A4C}"/>
    <cellStyle name="Normal 9 3 3 3 3" xfId="5309" xr:uid="{00000000-0005-0000-0000-000012200000}"/>
    <cellStyle name="Normal 9 3 3 3 3 2" xfId="22244" xr:uid="{5F5FFDC7-9C35-4D5D-A619-D0E0E13A4212}"/>
    <cellStyle name="Normal 9 3 3 3 3 3" xfId="13803" xr:uid="{085AC490-D903-43D6-80CF-4811C8A69A04}"/>
    <cellStyle name="Normal 9 3 3 3 4" xfId="18026" xr:uid="{AC7026F3-0CD2-49F7-B62E-47CA73766292}"/>
    <cellStyle name="Normal 9 3 3 3 5" xfId="9552" xr:uid="{417DC74D-1887-40DA-9853-CF4FFE20A592}"/>
    <cellStyle name="Normal 9 3 3 4" xfId="1415" xr:uid="{00000000-0005-0000-0000-000013200000}"/>
    <cellStyle name="Normal 9 3 3 4 2" xfId="3645" xr:uid="{00000000-0005-0000-0000-000014200000}"/>
    <cellStyle name="Normal 9 3 3 4 2 2" xfId="7867" xr:uid="{00000000-0005-0000-0000-000015200000}"/>
    <cellStyle name="Normal 9 3 3 4 2 2 2" xfId="24802" xr:uid="{59AA0110-0BA8-41E9-AF93-5C2C706B92D6}"/>
    <cellStyle name="Normal 9 3 3 4 2 2 3" xfId="16361" xr:uid="{1A1A0613-66E4-439D-A290-847E7E4B40C6}"/>
    <cellStyle name="Normal 9 3 3 4 2 3" xfId="20584" xr:uid="{71303C96-80D9-41D1-8B82-317D6913982E}"/>
    <cellStyle name="Normal 9 3 3 4 2 4" xfId="12142" xr:uid="{C73C21FD-FEF0-4D15-A6F6-032F54733927}"/>
    <cellStyle name="Normal 9 3 3 4 3" xfId="5722" xr:uid="{00000000-0005-0000-0000-000016200000}"/>
    <cellStyle name="Normal 9 3 3 4 3 2" xfId="22657" xr:uid="{A84100B7-0DFB-4E67-B8FF-779C57AE9DD3}"/>
    <cellStyle name="Normal 9 3 3 4 3 3" xfId="14216" xr:uid="{39867C1C-DFAA-4E65-8B82-FDCEB1A7ACBB}"/>
    <cellStyle name="Normal 9 3 3 4 4" xfId="18439" xr:uid="{D2C8676F-8E0F-42E0-9BF2-245B42DC73EB}"/>
    <cellStyle name="Normal 9 3 3 4 5" xfId="9965" xr:uid="{9C9D4626-032D-4A46-869F-AC009FBF78CD}"/>
    <cellStyle name="Normal 9 3 3 5" xfId="1828" xr:uid="{00000000-0005-0000-0000-000017200000}"/>
    <cellStyle name="Normal 9 3 3 5 2" xfId="4058" xr:uid="{00000000-0005-0000-0000-000018200000}"/>
    <cellStyle name="Normal 9 3 3 5 2 2" xfId="8280" xr:uid="{00000000-0005-0000-0000-000019200000}"/>
    <cellStyle name="Normal 9 3 3 5 2 2 2" xfId="25215" xr:uid="{8EF75672-AE19-4053-A5C0-8097AC0D599B}"/>
    <cellStyle name="Normal 9 3 3 5 2 2 3" xfId="16774" xr:uid="{13FAF6A4-1105-4DFC-B8B6-ABBDC02ED254}"/>
    <cellStyle name="Normal 9 3 3 5 2 3" xfId="20997" xr:uid="{558B4287-E1C6-4CD7-99C7-E4DC6F7286CB}"/>
    <cellStyle name="Normal 9 3 3 5 2 4" xfId="12555" xr:uid="{5CB3CC1C-C338-4DAE-AC72-6472160953D7}"/>
    <cellStyle name="Normal 9 3 3 5 3" xfId="6135" xr:uid="{00000000-0005-0000-0000-00001A200000}"/>
    <cellStyle name="Normal 9 3 3 5 3 2" xfId="23070" xr:uid="{BD569D07-28A0-41B2-BBCC-CFB3A6A87B3B}"/>
    <cellStyle name="Normal 9 3 3 5 3 3" xfId="14629" xr:uid="{97BE40B5-64A8-4527-95E3-24ED547F31BF}"/>
    <cellStyle name="Normal 9 3 3 5 4" xfId="18852" xr:uid="{CE57E466-CBBC-40DE-A498-5F7350AED7E2}"/>
    <cellStyle name="Normal 9 3 3 5 5" xfId="10378" xr:uid="{052E5A82-5613-49F1-9A43-A17DF3314B51}"/>
    <cellStyle name="Normal 9 3 3 6" xfId="2242" xr:uid="{00000000-0005-0000-0000-00001B200000}"/>
    <cellStyle name="Normal 9 3 3 6 2" xfId="4471" xr:uid="{00000000-0005-0000-0000-00001C200000}"/>
    <cellStyle name="Normal 9 3 3 6 2 2" xfId="8693" xr:uid="{00000000-0005-0000-0000-00001D200000}"/>
    <cellStyle name="Normal 9 3 3 6 2 2 2" xfId="25628" xr:uid="{C071A07F-5182-451A-B27C-2DF3E084806B}"/>
    <cellStyle name="Normal 9 3 3 6 2 2 3" xfId="17187" xr:uid="{D6ED4D91-6784-4337-BDD4-EAA090510287}"/>
    <cellStyle name="Normal 9 3 3 6 2 3" xfId="21410" xr:uid="{0983A559-EB6A-4483-82DE-BF3170593BAD}"/>
    <cellStyle name="Normal 9 3 3 6 2 4" xfId="12968" xr:uid="{15CA23A2-3F6C-4CF6-8177-DCD520B5EFDC}"/>
    <cellStyle name="Normal 9 3 3 6 3" xfId="6548" xr:uid="{00000000-0005-0000-0000-00001E200000}"/>
    <cellStyle name="Normal 9 3 3 6 3 2" xfId="23483" xr:uid="{35877BD6-7EDC-48F3-B6F6-73FB48BF4986}"/>
    <cellStyle name="Normal 9 3 3 6 3 3" xfId="15042" xr:uid="{33BEB9DF-276E-4550-B0CF-38EED9823929}"/>
    <cellStyle name="Normal 9 3 3 6 4" xfId="19265" xr:uid="{A3397D97-F7AB-4F91-82F3-B914F096A3D4}"/>
    <cellStyle name="Normal 9 3 3 6 5" xfId="10791" xr:uid="{FDF18FE6-31B7-4BFA-9E5C-7E8702EDB432}"/>
    <cellStyle name="Normal 9 3 3 7" xfId="2678" xr:uid="{00000000-0005-0000-0000-00001F200000}"/>
    <cellStyle name="Normal 9 3 3 7 2" xfId="6961" xr:uid="{00000000-0005-0000-0000-000020200000}"/>
    <cellStyle name="Normal 9 3 3 7 2 2" xfId="23896" xr:uid="{5C6C2D1B-BD66-49F5-9112-3B89EFF7530D}"/>
    <cellStyle name="Normal 9 3 3 7 2 3" xfId="15455" xr:uid="{C3D4529C-3B61-4762-95B5-8AA85DF7EA9A}"/>
    <cellStyle name="Normal 9 3 3 7 3" xfId="19678" xr:uid="{06917CAA-096C-4921-95FF-2B958CF9325F}"/>
    <cellStyle name="Normal 9 3 3 7 4" xfId="11226" xr:uid="{86D21458-C5A7-4462-9317-CBB8BC1B891F}"/>
    <cellStyle name="Normal 9 3 3 8" xfId="4896" xr:uid="{00000000-0005-0000-0000-000021200000}"/>
    <cellStyle name="Normal 9 3 3 8 2" xfId="21831" xr:uid="{4BE3A1E1-4065-4D70-A800-0388C8228BAD}"/>
    <cellStyle name="Normal 9 3 3 8 3" xfId="13390" xr:uid="{48C20730-3ED4-401E-9E5D-A2B0F4FD2B84}"/>
    <cellStyle name="Normal 9 3 3 9" xfId="17613" xr:uid="{A98F3E3F-DF01-400E-9513-B4184C18DD1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4391" xr:uid="{2256F411-4C55-4D02-9187-3EDF0A0DE373}"/>
    <cellStyle name="Normal 9 3 4 2 2 2 3" xfId="15950" xr:uid="{9F0F1FAC-D4E7-4DF7-85A4-2F1B9C923AEB}"/>
    <cellStyle name="Normal 9 3 4 2 2 3" xfId="20173" xr:uid="{2181A4B9-0657-4742-A430-278458240042}"/>
    <cellStyle name="Normal 9 3 4 2 2 4" xfId="11731" xr:uid="{90682CCD-0980-4B76-BB06-197406801F0B}"/>
    <cellStyle name="Normal 9 3 4 2 3" xfId="5311" xr:uid="{00000000-0005-0000-0000-000026200000}"/>
    <cellStyle name="Normal 9 3 4 2 3 2" xfId="22246" xr:uid="{DEBCFFBF-B038-40D3-8B99-A533D1694C44}"/>
    <cellStyle name="Normal 9 3 4 2 3 3" xfId="13805" xr:uid="{0B3B1B6C-614D-48A5-93A1-B57822870C3D}"/>
    <cellStyle name="Normal 9 3 4 2 4" xfId="18028" xr:uid="{3EE8B365-D291-4E49-893E-C0C4408245A0}"/>
    <cellStyle name="Normal 9 3 4 2 5" xfId="9554" xr:uid="{3A0724C0-27F5-4603-9044-79B855716F1E}"/>
    <cellStyle name="Normal 9 3 4 3" xfId="1417" xr:uid="{00000000-0005-0000-0000-000027200000}"/>
    <cellStyle name="Normal 9 3 4 3 2" xfId="3647" xr:uid="{00000000-0005-0000-0000-000028200000}"/>
    <cellStyle name="Normal 9 3 4 3 2 2" xfId="7869" xr:uid="{00000000-0005-0000-0000-000029200000}"/>
    <cellStyle name="Normal 9 3 4 3 2 2 2" xfId="24804" xr:uid="{DBD1F06B-10DA-4BCF-B3B2-920ED394B859}"/>
    <cellStyle name="Normal 9 3 4 3 2 2 3" xfId="16363" xr:uid="{BFA39DE8-FE77-458F-8F22-2DBCCC57B823}"/>
    <cellStyle name="Normal 9 3 4 3 2 3" xfId="20586" xr:uid="{F7A72B34-93A3-4E6A-B508-E9E021EDBCA4}"/>
    <cellStyle name="Normal 9 3 4 3 2 4" xfId="12144" xr:uid="{857CC0B2-A0E8-4FAC-B1ED-F2200AC68FE9}"/>
    <cellStyle name="Normal 9 3 4 3 3" xfId="5724" xr:uid="{00000000-0005-0000-0000-00002A200000}"/>
    <cellStyle name="Normal 9 3 4 3 3 2" xfId="22659" xr:uid="{61123CE9-AF54-427D-AF1B-C6E8D8C59582}"/>
    <cellStyle name="Normal 9 3 4 3 3 3" xfId="14218" xr:uid="{6F4DEAF0-9732-4250-BE97-B4A6FE9A9BEC}"/>
    <cellStyle name="Normal 9 3 4 3 4" xfId="18441" xr:uid="{69CF3B54-75B4-442B-9A22-3CC3066C494D}"/>
    <cellStyle name="Normal 9 3 4 3 5" xfId="9967" xr:uid="{F7B821BB-9EAC-4865-804A-886C2C5D2163}"/>
    <cellStyle name="Normal 9 3 4 4" xfId="1830" xr:uid="{00000000-0005-0000-0000-00002B200000}"/>
    <cellStyle name="Normal 9 3 4 4 2" xfId="4060" xr:uid="{00000000-0005-0000-0000-00002C200000}"/>
    <cellStyle name="Normal 9 3 4 4 2 2" xfId="8282" xr:uid="{00000000-0005-0000-0000-00002D200000}"/>
    <cellStyle name="Normal 9 3 4 4 2 2 2" xfId="25217" xr:uid="{99FC564F-D8AC-4FCB-91AD-939C12185BD7}"/>
    <cellStyle name="Normal 9 3 4 4 2 2 3" xfId="16776" xr:uid="{EE672B56-D064-4BF1-B8DE-350AF6BC2A04}"/>
    <cellStyle name="Normal 9 3 4 4 2 3" xfId="20999" xr:uid="{CBFD0E3B-596B-464D-A7E6-D14FD70CC074}"/>
    <cellStyle name="Normal 9 3 4 4 2 4" xfId="12557" xr:uid="{3AE7F38F-319B-4BD2-B170-CA7FDD142CF8}"/>
    <cellStyle name="Normal 9 3 4 4 3" xfId="6137" xr:uid="{00000000-0005-0000-0000-00002E200000}"/>
    <cellStyle name="Normal 9 3 4 4 3 2" xfId="23072" xr:uid="{8B639C19-1D47-4BEA-973B-EF852D745394}"/>
    <cellStyle name="Normal 9 3 4 4 3 3" xfId="14631" xr:uid="{379C2B3A-738C-408C-8F81-E42375CE2BAD}"/>
    <cellStyle name="Normal 9 3 4 4 4" xfId="18854" xr:uid="{9CEF6367-E3ED-41E8-BB20-753A038B6CEA}"/>
    <cellStyle name="Normal 9 3 4 4 5" xfId="10380" xr:uid="{8676769E-13C3-4D04-9890-1EC9EC6242E1}"/>
    <cellStyle name="Normal 9 3 4 5" xfId="2244" xr:uid="{00000000-0005-0000-0000-00002F200000}"/>
    <cellStyle name="Normal 9 3 4 5 2" xfId="4473" xr:uid="{00000000-0005-0000-0000-000030200000}"/>
    <cellStyle name="Normal 9 3 4 5 2 2" xfId="8695" xr:uid="{00000000-0005-0000-0000-000031200000}"/>
    <cellStyle name="Normal 9 3 4 5 2 2 2" xfId="25630" xr:uid="{06B7F820-851D-470A-BE05-546CBE4E6800}"/>
    <cellStyle name="Normal 9 3 4 5 2 2 3" xfId="17189" xr:uid="{25818F4F-6156-477A-9505-4E1ED05FC1E0}"/>
    <cellStyle name="Normal 9 3 4 5 2 3" xfId="21412" xr:uid="{7931E0AD-DC6E-4744-8577-A0658757DC7E}"/>
    <cellStyle name="Normal 9 3 4 5 2 4" xfId="12970" xr:uid="{5EA7B13D-B8B5-4466-83E0-20E81681A3A1}"/>
    <cellStyle name="Normal 9 3 4 5 3" xfId="6550" xr:uid="{00000000-0005-0000-0000-000032200000}"/>
    <cellStyle name="Normal 9 3 4 5 3 2" xfId="23485" xr:uid="{AC15A1BC-9F77-452B-B5D8-5EA04032E59B}"/>
    <cellStyle name="Normal 9 3 4 5 3 3" xfId="15044" xr:uid="{5A47EAB4-70CB-4CC4-9A04-1287907EAD92}"/>
    <cellStyle name="Normal 9 3 4 5 4" xfId="19267" xr:uid="{AF83187A-34B2-4FE2-BD23-3DB20CEFD49A}"/>
    <cellStyle name="Normal 9 3 4 5 5" xfId="10793" xr:uid="{1AE0051D-98CA-426D-9675-DE4A28B2F286}"/>
    <cellStyle name="Normal 9 3 4 6" xfId="2680" xr:uid="{00000000-0005-0000-0000-000033200000}"/>
    <cellStyle name="Normal 9 3 4 6 2" xfId="6963" xr:uid="{00000000-0005-0000-0000-000034200000}"/>
    <cellStyle name="Normal 9 3 4 6 2 2" xfId="23898" xr:uid="{DDB8E881-C97C-467C-BD42-4E2CC1A537FB}"/>
    <cellStyle name="Normal 9 3 4 6 2 3" xfId="15457" xr:uid="{228C379B-D6EE-46D3-8099-45CBEFA6283D}"/>
    <cellStyle name="Normal 9 3 4 6 3" xfId="19680" xr:uid="{F5104176-7A77-40B7-82DC-615428A61ABA}"/>
    <cellStyle name="Normal 9 3 4 6 4" xfId="11228" xr:uid="{6E22CEED-A215-429B-817F-B20B501604BB}"/>
    <cellStyle name="Normal 9 3 4 7" xfId="4898" xr:uid="{00000000-0005-0000-0000-000035200000}"/>
    <cellStyle name="Normal 9 3 4 7 2" xfId="21833" xr:uid="{CC0B4A71-B2A2-4356-87FB-4EC787D0BD39}"/>
    <cellStyle name="Normal 9 3 4 7 3" xfId="13392" xr:uid="{14A354CA-369E-49DC-876D-E9EECEE8F383}"/>
    <cellStyle name="Normal 9 3 4 8" xfId="17615" xr:uid="{BB39CC64-4730-483C-B099-0239691D41BF}"/>
    <cellStyle name="Normal 9 3 4 9" xfId="9140" xr:uid="{96983080-96D1-4598-AB8C-1A97BD4F1D85}"/>
    <cellStyle name="Normal 9 3 5" xfId="994" xr:uid="{00000000-0005-0000-0000-000036200000}"/>
    <cellStyle name="Normal 9 3 5 2" xfId="3227" xr:uid="{00000000-0005-0000-0000-000037200000}"/>
    <cellStyle name="Normal 9 3 5 2 2" xfId="7449" xr:uid="{00000000-0005-0000-0000-000038200000}"/>
    <cellStyle name="Normal 9 3 5 2 2 2" xfId="24384" xr:uid="{06D3C784-CCAA-4A22-B523-3FB0EC146202}"/>
    <cellStyle name="Normal 9 3 5 2 2 3" xfId="15943" xr:uid="{E0D5F739-8405-40E1-8A97-38BB94D622F1}"/>
    <cellStyle name="Normal 9 3 5 2 3" xfId="20166" xr:uid="{3184506C-33F5-450D-92FE-B992E73F6473}"/>
    <cellStyle name="Normal 9 3 5 2 4" xfId="11724" xr:uid="{697AEF73-2A1B-469C-9DFB-24911CF55BBF}"/>
    <cellStyle name="Normal 9 3 5 3" xfId="5304" xr:uid="{00000000-0005-0000-0000-000039200000}"/>
    <cellStyle name="Normal 9 3 5 3 2" xfId="22239" xr:uid="{6D0DA756-7343-4217-BC4A-5ADDA87F04AA}"/>
    <cellStyle name="Normal 9 3 5 3 3" xfId="13798" xr:uid="{044A4623-9DA5-4704-9D4F-32DA4675E091}"/>
    <cellStyle name="Normal 9 3 5 4" xfId="18021" xr:uid="{630604CC-9328-45BC-B0A5-4AC587F80FF0}"/>
    <cellStyle name="Normal 9 3 5 5" xfId="9547" xr:uid="{2D91D7D2-5D89-41D6-9800-B06067CE9C46}"/>
    <cellStyle name="Normal 9 3 6" xfId="1410" xr:uid="{00000000-0005-0000-0000-00003A200000}"/>
    <cellStyle name="Normal 9 3 6 2" xfId="3640" xr:uid="{00000000-0005-0000-0000-00003B200000}"/>
    <cellStyle name="Normal 9 3 6 2 2" xfId="7862" xr:uid="{00000000-0005-0000-0000-00003C200000}"/>
    <cellStyle name="Normal 9 3 6 2 2 2" xfId="24797" xr:uid="{D2435046-E0FE-4F36-8191-241D71FFF897}"/>
    <cellStyle name="Normal 9 3 6 2 2 3" xfId="16356" xr:uid="{3AA0E1B7-CEEF-4C8F-A818-C140C0DED939}"/>
    <cellStyle name="Normal 9 3 6 2 3" xfId="20579" xr:uid="{CA7EC015-8115-4A76-A0E0-A5A6C8484C80}"/>
    <cellStyle name="Normal 9 3 6 2 4" xfId="12137" xr:uid="{7CD232A7-07CB-46A7-BE22-51C0F9B5697A}"/>
    <cellStyle name="Normal 9 3 6 3" xfId="5717" xr:uid="{00000000-0005-0000-0000-00003D200000}"/>
    <cellStyle name="Normal 9 3 6 3 2" xfId="22652" xr:uid="{093B49D7-390B-4862-91B1-588825A378EA}"/>
    <cellStyle name="Normal 9 3 6 3 3" xfId="14211" xr:uid="{25644348-05FB-480F-BC29-C5D5715F1A52}"/>
    <cellStyle name="Normal 9 3 6 4" xfId="18434" xr:uid="{0816401B-AB04-4EAF-8AE9-3E7A1E06195F}"/>
    <cellStyle name="Normal 9 3 6 5" xfId="9960" xr:uid="{615C471C-87ED-4E10-8181-FF59C8A8198C}"/>
    <cellStyle name="Normal 9 3 7" xfId="1823" xr:uid="{00000000-0005-0000-0000-00003E200000}"/>
    <cellStyle name="Normal 9 3 7 2" xfId="4053" xr:uid="{00000000-0005-0000-0000-00003F200000}"/>
    <cellStyle name="Normal 9 3 7 2 2" xfId="8275" xr:uid="{00000000-0005-0000-0000-000040200000}"/>
    <cellStyle name="Normal 9 3 7 2 2 2" xfId="25210" xr:uid="{2512BE30-0B3C-4D31-9D67-4712D53121BA}"/>
    <cellStyle name="Normal 9 3 7 2 2 3" xfId="16769" xr:uid="{0665E646-C80B-4D7B-98BA-A27962C3D008}"/>
    <cellStyle name="Normal 9 3 7 2 3" xfId="20992" xr:uid="{121FBC67-68EF-4404-B57F-E1D9AF76DD9F}"/>
    <cellStyle name="Normal 9 3 7 2 4" xfId="12550" xr:uid="{56279556-3BA8-4AA5-84E3-CD69B9B72A16}"/>
    <cellStyle name="Normal 9 3 7 3" xfId="6130" xr:uid="{00000000-0005-0000-0000-000041200000}"/>
    <cellStyle name="Normal 9 3 7 3 2" xfId="23065" xr:uid="{48A6224F-7E02-48D5-AABD-AD2C58FA90E0}"/>
    <cellStyle name="Normal 9 3 7 3 3" xfId="14624" xr:uid="{820CD36C-12C1-431B-A3D4-1ADDE1193BFC}"/>
    <cellStyle name="Normal 9 3 7 4" xfId="18847" xr:uid="{90C418D4-C287-4D4A-8A55-7C1033665DC4}"/>
    <cellStyle name="Normal 9 3 7 5" xfId="10373" xr:uid="{737E3068-F36E-4758-AFE8-49FD8827B5D8}"/>
    <cellStyle name="Normal 9 3 8" xfId="2237" xr:uid="{00000000-0005-0000-0000-000042200000}"/>
    <cellStyle name="Normal 9 3 8 2" xfId="4466" xr:uid="{00000000-0005-0000-0000-000043200000}"/>
    <cellStyle name="Normal 9 3 8 2 2" xfId="8688" xr:uid="{00000000-0005-0000-0000-000044200000}"/>
    <cellStyle name="Normal 9 3 8 2 2 2" xfId="25623" xr:uid="{7933E4B3-8958-4B67-A8B0-E89CA51F9580}"/>
    <cellStyle name="Normal 9 3 8 2 2 3" xfId="17182" xr:uid="{324877E3-514F-4FAD-B3B4-8F966C3C1CCC}"/>
    <cellStyle name="Normal 9 3 8 2 3" xfId="21405" xr:uid="{BB750DF2-3F58-4AAE-BE1C-064BCFE60393}"/>
    <cellStyle name="Normal 9 3 8 2 4" xfId="12963" xr:uid="{9080EA2B-3617-441A-9D3C-CD983CED50D2}"/>
    <cellStyle name="Normal 9 3 8 3" xfId="6543" xr:uid="{00000000-0005-0000-0000-000045200000}"/>
    <cellStyle name="Normal 9 3 8 3 2" xfId="23478" xr:uid="{3570CC60-38A9-4AA1-AF67-E53CA864E062}"/>
    <cellStyle name="Normal 9 3 8 3 3" xfId="15037" xr:uid="{AB35734D-EB95-42B1-944E-67B356295043}"/>
    <cellStyle name="Normal 9 3 8 4" xfId="19260" xr:uid="{C44EB3EE-018B-44DA-A082-CF57158BB526}"/>
    <cellStyle name="Normal 9 3 8 5" xfId="10786" xr:uid="{17A09A22-0673-48C0-A639-D7CAB502C34A}"/>
    <cellStyle name="Normal 9 3 9" xfId="2673" xr:uid="{00000000-0005-0000-0000-000046200000}"/>
    <cellStyle name="Normal 9 3 9 2" xfId="6956" xr:uid="{00000000-0005-0000-0000-000047200000}"/>
    <cellStyle name="Normal 9 3 9 2 2" xfId="23891" xr:uid="{61937A07-8BE0-4C19-BE9D-D65DC6BD36A3}"/>
    <cellStyle name="Normal 9 3 9 2 3" xfId="15450" xr:uid="{0257813B-1E38-42A9-BFB1-33F39C2FE074}"/>
    <cellStyle name="Normal 9 3 9 3" xfId="19673" xr:uid="{A8C28838-FF9E-49FF-881B-B318DE659E13}"/>
    <cellStyle name="Normal 9 3 9 4" xfId="11221" xr:uid="{236B077E-8A71-4942-A613-8B2052BDDC5A}"/>
    <cellStyle name="Normal 9 4" xfId="535" xr:uid="{00000000-0005-0000-0000-000048200000}"/>
    <cellStyle name="Normal 9 4 2" xfId="1002" xr:uid="{00000000-0005-0000-0000-000049200000}"/>
    <cellStyle name="Normal 9 5" xfId="536" xr:uid="{00000000-0005-0000-0000-00004A200000}"/>
    <cellStyle name="Normal 9 5 10" xfId="9141" xr:uid="{57C1E50A-2A4D-4F6A-9C15-66CF33A9E221}"/>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4393" xr:uid="{E9F85DFA-D4FC-4E8D-8EBB-58C5050EC9C7}"/>
    <cellStyle name="Normal 9 5 2 2 2 2 3" xfId="15952" xr:uid="{0BF2D24F-5B7F-4795-8A8C-7DAEFE93E28D}"/>
    <cellStyle name="Normal 9 5 2 2 2 3" xfId="20175" xr:uid="{6970121C-DDF6-4258-897C-E3AF7E48C28A}"/>
    <cellStyle name="Normal 9 5 2 2 2 4" xfId="11733" xr:uid="{57B30F85-0F7D-4955-AFDA-37EAA09CB647}"/>
    <cellStyle name="Normal 9 5 2 2 3" xfId="5313" xr:uid="{00000000-0005-0000-0000-00004F200000}"/>
    <cellStyle name="Normal 9 5 2 2 3 2" xfId="22248" xr:uid="{AA19E382-46BD-4203-9479-8290648ED2EF}"/>
    <cellStyle name="Normal 9 5 2 2 3 3" xfId="13807" xr:uid="{3F3DF1D4-A99E-4F40-AC48-E8952AD37844}"/>
    <cellStyle name="Normal 9 5 2 2 4" xfId="18030" xr:uid="{5AE11EC4-53BD-45F7-8549-EEA8A4A99F74}"/>
    <cellStyle name="Normal 9 5 2 2 5" xfId="9556" xr:uid="{3278200B-290B-4D51-871D-8C2BE1DDC10F}"/>
    <cellStyle name="Normal 9 5 2 3" xfId="1419" xr:uid="{00000000-0005-0000-0000-000050200000}"/>
    <cellStyle name="Normal 9 5 2 3 2" xfId="3649" xr:uid="{00000000-0005-0000-0000-000051200000}"/>
    <cellStyle name="Normal 9 5 2 3 2 2" xfId="7871" xr:uid="{00000000-0005-0000-0000-000052200000}"/>
    <cellStyle name="Normal 9 5 2 3 2 2 2" xfId="24806" xr:uid="{DFAF8756-704C-4639-9E1E-BAEF1E434F2E}"/>
    <cellStyle name="Normal 9 5 2 3 2 2 3" xfId="16365" xr:uid="{16A3656D-260C-48FD-B237-0D787468C8D7}"/>
    <cellStyle name="Normal 9 5 2 3 2 3" xfId="20588" xr:uid="{0FF4704A-C94F-498F-B396-FF3C9CB5029B}"/>
    <cellStyle name="Normal 9 5 2 3 2 4" xfId="12146" xr:uid="{BCF483FA-5CCC-4C99-ACBF-3B856D2C4D3E}"/>
    <cellStyle name="Normal 9 5 2 3 3" xfId="5726" xr:uid="{00000000-0005-0000-0000-000053200000}"/>
    <cellStyle name="Normal 9 5 2 3 3 2" xfId="22661" xr:uid="{405E8458-A54C-4897-8C36-19B016EC7783}"/>
    <cellStyle name="Normal 9 5 2 3 3 3" xfId="14220" xr:uid="{FF7C88FA-00C5-452C-B69E-F6BC43F4F647}"/>
    <cellStyle name="Normal 9 5 2 3 4" xfId="18443" xr:uid="{24483707-10FE-4ED3-9923-4314A833568D}"/>
    <cellStyle name="Normal 9 5 2 3 5" xfId="9969" xr:uid="{E336AB89-35A0-454B-82A6-DD7304C63063}"/>
    <cellStyle name="Normal 9 5 2 4" xfId="1832" xr:uid="{00000000-0005-0000-0000-000054200000}"/>
    <cellStyle name="Normal 9 5 2 4 2" xfId="4062" xr:uid="{00000000-0005-0000-0000-000055200000}"/>
    <cellStyle name="Normal 9 5 2 4 2 2" xfId="8284" xr:uid="{00000000-0005-0000-0000-000056200000}"/>
    <cellStyle name="Normal 9 5 2 4 2 2 2" xfId="25219" xr:uid="{3EEB0C24-BC0E-4A4F-8D5E-A0313885777C}"/>
    <cellStyle name="Normal 9 5 2 4 2 2 3" xfId="16778" xr:uid="{2BC8CC2D-6279-412E-AF92-D6382398FBBD}"/>
    <cellStyle name="Normal 9 5 2 4 2 3" xfId="21001" xr:uid="{99FE9D33-9E61-4E24-9801-B6322D8FA837}"/>
    <cellStyle name="Normal 9 5 2 4 2 4" xfId="12559" xr:uid="{08915880-224A-4453-8A3C-83425F7E6D63}"/>
    <cellStyle name="Normal 9 5 2 4 3" xfId="6139" xr:uid="{00000000-0005-0000-0000-000057200000}"/>
    <cellStyle name="Normal 9 5 2 4 3 2" xfId="23074" xr:uid="{96B50435-F745-444A-8C6A-12743371EB74}"/>
    <cellStyle name="Normal 9 5 2 4 3 3" xfId="14633" xr:uid="{CC1F61EB-111E-4E3A-AFF6-2071616A02B6}"/>
    <cellStyle name="Normal 9 5 2 4 4" xfId="18856" xr:uid="{F60F505A-4ECD-4AA3-83ED-598BD7EAFF87}"/>
    <cellStyle name="Normal 9 5 2 4 5" xfId="10382" xr:uid="{EBE1078A-463D-4B5D-B087-215787E4340E}"/>
    <cellStyle name="Normal 9 5 2 5" xfId="2246" xr:uid="{00000000-0005-0000-0000-000058200000}"/>
    <cellStyle name="Normal 9 5 2 5 2" xfId="4475" xr:uid="{00000000-0005-0000-0000-000059200000}"/>
    <cellStyle name="Normal 9 5 2 5 2 2" xfId="8697" xr:uid="{00000000-0005-0000-0000-00005A200000}"/>
    <cellStyle name="Normal 9 5 2 5 2 2 2" xfId="25632" xr:uid="{9AEAAF1E-3667-4328-B793-DF94AE9404DE}"/>
    <cellStyle name="Normal 9 5 2 5 2 2 3" xfId="17191" xr:uid="{6EAE5C2B-ADB2-4B49-ABA1-DB2E8A37A567}"/>
    <cellStyle name="Normal 9 5 2 5 2 3" xfId="21414" xr:uid="{045DDD58-6871-4727-A94F-0B24AD123654}"/>
    <cellStyle name="Normal 9 5 2 5 2 4" xfId="12972" xr:uid="{851213FD-771D-4A85-81F2-7D414160BD03}"/>
    <cellStyle name="Normal 9 5 2 5 3" xfId="6552" xr:uid="{00000000-0005-0000-0000-00005B200000}"/>
    <cellStyle name="Normal 9 5 2 5 3 2" xfId="23487" xr:uid="{7346659F-07F3-481B-B37D-4B7749E38C99}"/>
    <cellStyle name="Normal 9 5 2 5 3 3" xfId="15046" xr:uid="{199E07B6-A7CA-4594-8795-976396621B9E}"/>
    <cellStyle name="Normal 9 5 2 5 4" xfId="19269" xr:uid="{CC431C75-35B1-464F-9C88-ECCFE7AFE2CB}"/>
    <cellStyle name="Normal 9 5 2 5 5" xfId="10795" xr:uid="{2B4BDB94-B93D-4C66-AB52-566316E82E8A}"/>
    <cellStyle name="Normal 9 5 2 6" xfId="2682" xr:uid="{00000000-0005-0000-0000-00005C200000}"/>
    <cellStyle name="Normal 9 5 2 6 2" xfId="6965" xr:uid="{00000000-0005-0000-0000-00005D200000}"/>
    <cellStyle name="Normal 9 5 2 6 2 2" xfId="23900" xr:uid="{F34C91D6-E798-469F-B1B3-BEBBAD15B64B}"/>
    <cellStyle name="Normal 9 5 2 6 2 3" xfId="15459" xr:uid="{0C19C9CF-EFC3-4124-BF80-C774EC1BFF21}"/>
    <cellStyle name="Normal 9 5 2 6 3" xfId="19682" xr:uid="{3AD6767B-59E0-48CA-8E83-BBF858DCE901}"/>
    <cellStyle name="Normal 9 5 2 6 4" xfId="11230" xr:uid="{604DB429-E01D-466E-8D92-1D3BEB619754}"/>
    <cellStyle name="Normal 9 5 2 7" xfId="4900" xr:uid="{00000000-0005-0000-0000-00005E200000}"/>
    <cellStyle name="Normal 9 5 2 7 2" xfId="21835" xr:uid="{4E620422-7EC0-4AFD-8D8D-8F5DF5D292CE}"/>
    <cellStyle name="Normal 9 5 2 7 3" xfId="13394" xr:uid="{BE8DD6C5-A058-4B9F-B1B2-0A95A08B7D6B}"/>
    <cellStyle name="Normal 9 5 2 8" xfId="17617" xr:uid="{05F0E2BF-4D99-499F-BC8D-4B5C26470951}"/>
    <cellStyle name="Normal 9 5 2 9" xfId="9142" xr:uid="{8B5BBE47-7DBB-4B18-BDC5-2E97659C147A}"/>
    <cellStyle name="Normal 9 5 3" xfId="1003" xr:uid="{00000000-0005-0000-0000-00005F200000}"/>
    <cellStyle name="Normal 9 5 3 2" xfId="3235" xr:uid="{00000000-0005-0000-0000-000060200000}"/>
    <cellStyle name="Normal 9 5 3 2 2" xfId="7457" xr:uid="{00000000-0005-0000-0000-000061200000}"/>
    <cellStyle name="Normal 9 5 3 2 2 2" xfId="24392" xr:uid="{F3A3A4EF-2280-4157-AE9D-D809AC8553D0}"/>
    <cellStyle name="Normal 9 5 3 2 2 3" xfId="15951" xr:uid="{282EC680-90A9-4463-A206-86DBA68C54E6}"/>
    <cellStyle name="Normal 9 5 3 2 3" xfId="20174" xr:uid="{CFE588D6-B379-46E7-875F-F63F3A04D265}"/>
    <cellStyle name="Normal 9 5 3 2 4" xfId="11732" xr:uid="{67180B66-603A-4669-AA27-7C1BE4A2A99B}"/>
    <cellStyle name="Normal 9 5 3 3" xfId="5312" xr:uid="{00000000-0005-0000-0000-000062200000}"/>
    <cellStyle name="Normal 9 5 3 3 2" xfId="22247" xr:uid="{D10FDC55-0B0D-42B6-AA86-80E420A665CA}"/>
    <cellStyle name="Normal 9 5 3 3 3" xfId="13806" xr:uid="{51C65EDA-BEEC-4D0D-8C85-4AD41BF8F28F}"/>
    <cellStyle name="Normal 9 5 3 4" xfId="18029" xr:uid="{4DAC1960-C794-4B97-9EDF-B533FF4496AD}"/>
    <cellStyle name="Normal 9 5 3 5" xfId="9555" xr:uid="{84369FFC-BAB7-447E-9F49-79EE352AF34E}"/>
    <cellStyle name="Normal 9 5 4" xfId="1418" xr:uid="{00000000-0005-0000-0000-000063200000}"/>
    <cellStyle name="Normal 9 5 4 2" xfId="3648" xr:uid="{00000000-0005-0000-0000-000064200000}"/>
    <cellStyle name="Normal 9 5 4 2 2" xfId="7870" xr:uid="{00000000-0005-0000-0000-000065200000}"/>
    <cellStyle name="Normal 9 5 4 2 2 2" xfId="24805" xr:uid="{69353251-3481-41E2-8FEB-89C79A57A6C6}"/>
    <cellStyle name="Normal 9 5 4 2 2 3" xfId="16364" xr:uid="{B3976F89-5CC4-4F77-8F1D-02C39F2D09C0}"/>
    <cellStyle name="Normal 9 5 4 2 3" xfId="20587" xr:uid="{1FA4FF5A-87AE-443C-9ADF-611D7B7325C7}"/>
    <cellStyle name="Normal 9 5 4 2 4" xfId="12145" xr:uid="{47B87D64-52C9-45D2-8746-23A23D702701}"/>
    <cellStyle name="Normal 9 5 4 3" xfId="5725" xr:uid="{00000000-0005-0000-0000-000066200000}"/>
    <cellStyle name="Normal 9 5 4 3 2" xfId="22660" xr:uid="{43AC423F-6A5B-49AA-94B6-2E668809CC79}"/>
    <cellStyle name="Normal 9 5 4 3 3" xfId="14219" xr:uid="{69E514E2-D714-4B4A-A24D-E30C3DD8ACE1}"/>
    <cellStyle name="Normal 9 5 4 4" xfId="18442" xr:uid="{FB524023-4CAC-4C7C-BF85-50594D0A4F73}"/>
    <cellStyle name="Normal 9 5 4 5" xfId="9968" xr:uid="{32539183-D8E1-44C7-B36A-792DC07FFEAA}"/>
    <cellStyle name="Normal 9 5 5" xfId="1831" xr:uid="{00000000-0005-0000-0000-000067200000}"/>
    <cellStyle name="Normal 9 5 5 2" xfId="4061" xr:uid="{00000000-0005-0000-0000-000068200000}"/>
    <cellStyle name="Normal 9 5 5 2 2" xfId="8283" xr:uid="{00000000-0005-0000-0000-000069200000}"/>
    <cellStyle name="Normal 9 5 5 2 2 2" xfId="25218" xr:uid="{D10B5DD7-2F4D-4FF5-8906-A1F426DC76D5}"/>
    <cellStyle name="Normal 9 5 5 2 2 3" xfId="16777" xr:uid="{C3A40FB9-1038-4BB6-ADF0-9F1B318D0206}"/>
    <cellStyle name="Normal 9 5 5 2 3" xfId="21000" xr:uid="{4F8006B2-2AFE-4311-BE59-DA150AD5D3B9}"/>
    <cellStyle name="Normal 9 5 5 2 4" xfId="12558" xr:uid="{B3CFD854-6948-4401-9E0E-54FE5CBE97C8}"/>
    <cellStyle name="Normal 9 5 5 3" xfId="6138" xr:uid="{00000000-0005-0000-0000-00006A200000}"/>
    <cellStyle name="Normal 9 5 5 3 2" xfId="23073" xr:uid="{B3998CEA-8969-4A9D-8A44-79EB17BB9F11}"/>
    <cellStyle name="Normal 9 5 5 3 3" xfId="14632" xr:uid="{5829EE3F-2094-4494-85BC-F29BC64E84C9}"/>
    <cellStyle name="Normal 9 5 5 4" xfId="18855" xr:uid="{85D4329C-1A75-41F5-BD71-B7DCE920CA47}"/>
    <cellStyle name="Normal 9 5 5 5" xfId="10381" xr:uid="{CAB863F7-2A5C-41A2-B1F3-63F56055005F}"/>
    <cellStyle name="Normal 9 5 6" xfId="2245" xr:uid="{00000000-0005-0000-0000-00006B200000}"/>
    <cellStyle name="Normal 9 5 6 2" xfId="4474" xr:uid="{00000000-0005-0000-0000-00006C200000}"/>
    <cellStyle name="Normal 9 5 6 2 2" xfId="8696" xr:uid="{00000000-0005-0000-0000-00006D200000}"/>
    <cellStyle name="Normal 9 5 6 2 2 2" xfId="25631" xr:uid="{19C8C111-2845-46ED-B76D-AC2A79AC5B5E}"/>
    <cellStyle name="Normal 9 5 6 2 2 3" xfId="17190" xr:uid="{376E2A07-AD9E-40F9-ACEC-FF6E284CA187}"/>
    <cellStyle name="Normal 9 5 6 2 3" xfId="21413" xr:uid="{8D253EB8-AC09-42EE-BEE4-15ACC5A76684}"/>
    <cellStyle name="Normal 9 5 6 2 4" xfId="12971" xr:uid="{8DE80E8F-90FF-4D38-B450-998988343F2A}"/>
    <cellStyle name="Normal 9 5 6 3" xfId="6551" xr:uid="{00000000-0005-0000-0000-00006E200000}"/>
    <cellStyle name="Normal 9 5 6 3 2" xfId="23486" xr:uid="{4CD58D69-8A53-4E40-8BFC-6E311E460227}"/>
    <cellStyle name="Normal 9 5 6 3 3" xfId="15045" xr:uid="{21F1E296-A0E0-4EB0-8C03-558E70B71843}"/>
    <cellStyle name="Normal 9 5 6 4" xfId="19268" xr:uid="{F4728D70-E9B9-4C2A-B59F-8C9CB5A0239D}"/>
    <cellStyle name="Normal 9 5 6 5" xfId="10794" xr:uid="{729CEC15-5FB0-404F-BFF5-4675F8624522}"/>
    <cellStyle name="Normal 9 5 7" xfId="2681" xr:uid="{00000000-0005-0000-0000-00006F200000}"/>
    <cellStyle name="Normal 9 5 7 2" xfId="6964" xr:uid="{00000000-0005-0000-0000-000070200000}"/>
    <cellStyle name="Normal 9 5 7 2 2" xfId="23899" xr:uid="{9B961393-0AAE-4FDE-AF90-AD04BE281575}"/>
    <cellStyle name="Normal 9 5 7 2 3" xfId="15458" xr:uid="{6BE68C3A-53D9-41CF-8EC2-729E905469F9}"/>
    <cellStyle name="Normal 9 5 7 3" xfId="19681" xr:uid="{21848193-09E5-4F9D-81F1-B59A94276B48}"/>
    <cellStyle name="Normal 9 5 7 4" xfId="11229" xr:uid="{5F8BB68E-FB9F-46C1-B660-6D17189A9716}"/>
    <cellStyle name="Normal 9 5 8" xfId="4899" xr:uid="{00000000-0005-0000-0000-000071200000}"/>
    <cellStyle name="Normal 9 5 8 2" xfId="21834" xr:uid="{3D67F4AA-FAB4-4CA2-A0BC-2BA0CBD82CC2}"/>
    <cellStyle name="Normal 9 5 8 3" xfId="13393" xr:uid="{14F25B5D-232B-4D56-A23B-A758B472033A}"/>
    <cellStyle name="Normal 9 5 9" xfId="17616" xr:uid="{C8D49BDD-8F66-4E55-A02E-A1581534CD8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4394" xr:uid="{874A46AD-2C37-49FA-841A-A2073BA686B7}"/>
    <cellStyle name="Normal 9 6 2 2 2 3" xfId="15953" xr:uid="{B87CF781-C566-474D-80E6-3478B7594AFE}"/>
    <cellStyle name="Normal 9 6 2 2 3" xfId="20176" xr:uid="{066A7A76-F65B-40BA-988D-A1A7A166DE7B}"/>
    <cellStyle name="Normal 9 6 2 2 4" xfId="11734" xr:uid="{D26DE7E5-A1CB-44E1-8896-4AB288E8B3C0}"/>
    <cellStyle name="Normal 9 6 2 3" xfId="5314" xr:uid="{00000000-0005-0000-0000-000076200000}"/>
    <cellStyle name="Normal 9 6 2 3 2" xfId="22249" xr:uid="{40A54D2B-7A2A-4595-A1A9-B6CE0F8F98CF}"/>
    <cellStyle name="Normal 9 6 2 3 3" xfId="13808" xr:uid="{D6DA8F79-6B84-42A6-8E4C-4A7F66C0D610}"/>
    <cellStyle name="Normal 9 6 2 4" xfId="18031" xr:uid="{D300A0F0-B77E-4C4E-9B51-1BE6F6D5262F}"/>
    <cellStyle name="Normal 9 6 2 5" xfId="9557" xr:uid="{E00E7E01-CB0A-4A74-A62F-934A74F6A615}"/>
    <cellStyle name="Normal 9 6 3" xfId="1420" xr:uid="{00000000-0005-0000-0000-000077200000}"/>
    <cellStyle name="Normal 9 6 3 2" xfId="3650" xr:uid="{00000000-0005-0000-0000-000078200000}"/>
    <cellStyle name="Normal 9 6 3 2 2" xfId="7872" xr:uid="{00000000-0005-0000-0000-000079200000}"/>
    <cellStyle name="Normal 9 6 3 2 2 2" xfId="24807" xr:uid="{25CE7C59-393D-4AD9-921D-9F99F124B5A7}"/>
    <cellStyle name="Normal 9 6 3 2 2 3" xfId="16366" xr:uid="{AB1B8EED-46E9-4C1A-82A1-A14FD446FA20}"/>
    <cellStyle name="Normal 9 6 3 2 3" xfId="20589" xr:uid="{DE504E8D-6787-4F30-95D4-98834063563F}"/>
    <cellStyle name="Normal 9 6 3 2 4" xfId="12147" xr:uid="{30C5A099-1ED6-41AD-94A2-D438E9700903}"/>
    <cellStyle name="Normal 9 6 3 3" xfId="5727" xr:uid="{00000000-0005-0000-0000-00007A200000}"/>
    <cellStyle name="Normal 9 6 3 3 2" xfId="22662" xr:uid="{FE414EF6-C249-4E07-9271-1614D9E7E6A8}"/>
    <cellStyle name="Normal 9 6 3 3 3" xfId="14221" xr:uid="{6A5A7288-311E-49AE-9289-FA5C8CDA9046}"/>
    <cellStyle name="Normal 9 6 3 4" xfId="18444" xr:uid="{148DA77F-CD23-44A4-8E09-538E5BA7E2CC}"/>
    <cellStyle name="Normal 9 6 3 5" xfId="9970" xr:uid="{140D4ABC-5EAF-48E1-A424-DC348C899C3C}"/>
    <cellStyle name="Normal 9 6 4" xfId="1833" xr:uid="{00000000-0005-0000-0000-00007B200000}"/>
    <cellStyle name="Normal 9 6 4 2" xfId="4063" xr:uid="{00000000-0005-0000-0000-00007C200000}"/>
    <cellStyle name="Normal 9 6 4 2 2" xfId="8285" xr:uid="{00000000-0005-0000-0000-00007D200000}"/>
    <cellStyle name="Normal 9 6 4 2 2 2" xfId="25220" xr:uid="{8973351B-7BC0-49B9-BCFE-5F1F94FDBD6D}"/>
    <cellStyle name="Normal 9 6 4 2 2 3" xfId="16779" xr:uid="{7BAC8261-6F93-4E5A-91FC-8E374A0DF0D6}"/>
    <cellStyle name="Normal 9 6 4 2 3" xfId="21002" xr:uid="{BD0AE3AE-7509-4EE4-AC1D-E87918BEE1B9}"/>
    <cellStyle name="Normal 9 6 4 2 4" xfId="12560" xr:uid="{C7D3DB11-61E1-49B0-B83A-D102E4C5E171}"/>
    <cellStyle name="Normal 9 6 4 3" xfId="6140" xr:uid="{00000000-0005-0000-0000-00007E200000}"/>
    <cellStyle name="Normal 9 6 4 3 2" xfId="23075" xr:uid="{97D2EAC3-46D8-4235-9FB0-681A2FFBC950}"/>
    <cellStyle name="Normal 9 6 4 3 3" xfId="14634" xr:uid="{9169028E-B02E-4C37-B13C-79FBE0ED0A4F}"/>
    <cellStyle name="Normal 9 6 4 4" xfId="18857" xr:uid="{2D3D2F4F-D020-493D-8D7D-7A18F2B5BDE8}"/>
    <cellStyle name="Normal 9 6 4 5" xfId="10383" xr:uid="{032F4746-EF3C-44A0-B753-474D9F027809}"/>
    <cellStyle name="Normal 9 6 5" xfId="2247" xr:uid="{00000000-0005-0000-0000-00007F200000}"/>
    <cellStyle name="Normal 9 6 5 2" xfId="4476" xr:uid="{00000000-0005-0000-0000-000080200000}"/>
    <cellStyle name="Normal 9 6 5 2 2" xfId="8698" xr:uid="{00000000-0005-0000-0000-000081200000}"/>
    <cellStyle name="Normal 9 6 5 2 2 2" xfId="25633" xr:uid="{60EAF8E2-1970-45FE-A4A2-38E8673B6D1D}"/>
    <cellStyle name="Normal 9 6 5 2 2 3" xfId="17192" xr:uid="{9AFA2789-FEEF-47F7-8816-EA21BD8BBCE0}"/>
    <cellStyle name="Normal 9 6 5 2 3" xfId="21415" xr:uid="{5465020E-714C-444B-873C-30B14243380E}"/>
    <cellStyle name="Normal 9 6 5 2 4" xfId="12973" xr:uid="{ACC8185D-E141-434F-9AD2-06C41EF35C37}"/>
    <cellStyle name="Normal 9 6 5 3" xfId="6553" xr:uid="{00000000-0005-0000-0000-000082200000}"/>
    <cellStyle name="Normal 9 6 5 3 2" xfId="23488" xr:uid="{B2D3094B-D4A1-4D8B-BA96-FE2809CE1E79}"/>
    <cellStyle name="Normal 9 6 5 3 3" xfId="15047" xr:uid="{28D11AA4-AC5F-4BEC-9CD1-C7AF2FED5731}"/>
    <cellStyle name="Normal 9 6 5 4" xfId="19270" xr:uid="{22811BAD-5DB1-46A4-A3C9-3A4335BAAA70}"/>
    <cellStyle name="Normal 9 6 5 5" xfId="10796" xr:uid="{07447672-DDF0-4B22-A221-B0BB148388CB}"/>
    <cellStyle name="Normal 9 6 6" xfId="2683" xr:uid="{00000000-0005-0000-0000-000083200000}"/>
    <cellStyle name="Normal 9 6 6 2" xfId="6966" xr:uid="{00000000-0005-0000-0000-000084200000}"/>
    <cellStyle name="Normal 9 6 6 2 2" xfId="23901" xr:uid="{62D94618-74BC-4EC6-B84C-DCCDDF6A7606}"/>
    <cellStyle name="Normal 9 6 6 2 3" xfId="15460" xr:uid="{D52C97C8-6DD6-4E0A-9020-EAD59C771CAE}"/>
    <cellStyle name="Normal 9 6 6 3" xfId="19683" xr:uid="{46BE97C2-1A43-4B03-8206-5EB5BF8A7DBA}"/>
    <cellStyle name="Normal 9 6 6 4" xfId="11231" xr:uid="{67C6E8F0-AAE6-4029-87C2-F0A81DDD7C0C}"/>
    <cellStyle name="Normal 9 6 7" xfId="4901" xr:uid="{00000000-0005-0000-0000-000085200000}"/>
    <cellStyle name="Normal 9 6 7 2" xfId="21836" xr:uid="{24A78190-EF7F-46D2-81CB-B9A8C776F19B}"/>
    <cellStyle name="Normal 9 6 7 3" xfId="13395" xr:uid="{77F51186-A559-4BEA-846B-5380C7547B3D}"/>
    <cellStyle name="Normal 9 6 8" xfId="17618" xr:uid="{73804CF9-5BF6-4C90-8D65-504566629D2E}"/>
    <cellStyle name="Normal 9 6 9" xfId="9143" xr:uid="{80C952EA-34FF-4731-BE82-3866A4AB7DBD}"/>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3982" xr:uid="{F7607B48-EAFD-440A-AEBB-A758E867F013}"/>
    <cellStyle name="Note 2 2 10 2 3" xfId="15541" xr:uid="{212A9EA7-8575-45E8-86D8-DBF1E9C4E7DB}"/>
    <cellStyle name="Note 2 2 10 3" xfId="19764" xr:uid="{2FCE9214-1D02-4408-8013-706793375B3E}"/>
    <cellStyle name="Note 2 2 10 4" xfId="11322" xr:uid="{05E5B49B-23C0-49F4-92C9-F5F09F052FFD}"/>
    <cellStyle name="Note 2 2 11" xfId="4902" xr:uid="{00000000-0005-0000-0000-000094200000}"/>
    <cellStyle name="Note 2 2 11 2" xfId="21837" xr:uid="{95338492-A358-4665-99B0-B28750128A23}"/>
    <cellStyle name="Note 2 2 11 3" xfId="13396" xr:uid="{4F2AFFE7-0F06-4E97-A1A4-6DA8F72F17B8}"/>
    <cellStyle name="Note 2 2 12" xfId="17619" xr:uid="{DA2FFC28-0B97-4D7D-8DCD-830E0E776451}"/>
    <cellStyle name="Note 2 2 13" xfId="9144" xr:uid="{4A1319AE-BA40-4672-A642-723B4232E63D}"/>
    <cellStyle name="Note 2 2 2" xfId="546" xr:uid="{00000000-0005-0000-0000-000095200000}"/>
    <cellStyle name="Note 2 2 2 10" xfId="4903" xr:uid="{00000000-0005-0000-0000-000096200000}"/>
    <cellStyle name="Note 2 2 2 10 2" xfId="21838" xr:uid="{52ABCA02-A8F0-4BDA-B2A3-F645CBFE0D84}"/>
    <cellStyle name="Note 2 2 2 10 3" xfId="13397" xr:uid="{6EE54E1F-2A96-4579-9824-52168E1B43EB}"/>
    <cellStyle name="Note 2 2 2 11" xfId="17620" xr:uid="{7D699E44-1863-43A2-B365-8A9BD4ECECA8}"/>
    <cellStyle name="Note 2 2 2 12" xfId="9145" xr:uid="{118E65AB-4FFC-4606-BEF6-3FDD04794AB5}"/>
    <cellStyle name="Note 2 2 2 2" xfId="547" xr:uid="{00000000-0005-0000-0000-000097200000}"/>
    <cellStyle name="Note 2 2 2 2 10" xfId="17621" xr:uid="{78A40EAD-B4CB-4296-BD46-9675DBC35063}"/>
    <cellStyle name="Note 2 2 2 2 11" xfId="9146" xr:uid="{3A992283-CADE-42B4-B1AD-E53128E95DE9}"/>
    <cellStyle name="Note 2 2 2 2 2" xfId="1008" xr:uid="{00000000-0005-0000-0000-000098200000}"/>
    <cellStyle name="Note 2 2 2 2 2 2" xfId="3240" xr:uid="{00000000-0005-0000-0000-000099200000}"/>
    <cellStyle name="Note 2 2 2 2 2 2 2" xfId="7462" xr:uid="{00000000-0005-0000-0000-00009A200000}"/>
    <cellStyle name="Note 2 2 2 2 2 2 2 2" xfId="24397" xr:uid="{6E0D7282-B67D-43C7-93A3-1E7B714799B0}"/>
    <cellStyle name="Note 2 2 2 2 2 2 2 3" xfId="15956" xr:uid="{3BFBE14E-08A9-4530-9A4F-193143D6F48B}"/>
    <cellStyle name="Note 2 2 2 2 2 2 3" xfId="20179" xr:uid="{316DF0E9-2C33-4EBA-8B77-BB1C8371049E}"/>
    <cellStyle name="Note 2 2 2 2 2 2 4" xfId="11737" xr:uid="{9C84F1ED-2AD9-4952-ACC0-7CA831690CE3}"/>
    <cellStyle name="Note 2 2 2 2 2 3" xfId="5317" xr:uid="{00000000-0005-0000-0000-00009B200000}"/>
    <cellStyle name="Note 2 2 2 2 2 3 2" xfId="22252" xr:uid="{06CD23C9-2DC3-4A6A-9ECD-24C72D7A0ABD}"/>
    <cellStyle name="Note 2 2 2 2 2 3 3" xfId="13811" xr:uid="{9079B556-CEF4-43AB-81DD-D580E610A01D}"/>
    <cellStyle name="Note 2 2 2 2 2 4" xfId="18034" xr:uid="{0CA9F157-67C8-416C-86C6-BB4949971CBC}"/>
    <cellStyle name="Note 2 2 2 2 2 5" xfId="9560" xr:uid="{43BBF4C6-CB59-4087-9DBC-27F4E6F05ACB}"/>
    <cellStyle name="Note 2 2 2 2 3" xfId="1423" xr:uid="{00000000-0005-0000-0000-00009C200000}"/>
    <cellStyle name="Note 2 2 2 2 3 2" xfId="3653" xr:uid="{00000000-0005-0000-0000-00009D200000}"/>
    <cellStyle name="Note 2 2 2 2 3 2 2" xfId="7875" xr:uid="{00000000-0005-0000-0000-00009E200000}"/>
    <cellStyle name="Note 2 2 2 2 3 2 2 2" xfId="24810" xr:uid="{DBC4EDE8-7309-43F9-91A8-C301B19BD9A3}"/>
    <cellStyle name="Note 2 2 2 2 3 2 2 3" xfId="16369" xr:uid="{B1EBF50F-DAF1-432B-84C7-D792B562DFE5}"/>
    <cellStyle name="Note 2 2 2 2 3 2 3" xfId="20592" xr:uid="{7767ACA7-8E44-4345-A41D-93151AA81FCD}"/>
    <cellStyle name="Note 2 2 2 2 3 2 4" xfId="12150" xr:uid="{0E4159B0-B48A-47F7-A255-D75A9B37EC44}"/>
    <cellStyle name="Note 2 2 2 2 3 3" xfId="5730" xr:uid="{00000000-0005-0000-0000-00009F200000}"/>
    <cellStyle name="Note 2 2 2 2 3 3 2" xfId="22665" xr:uid="{51C1C202-1D09-4776-8787-E3F3212D340F}"/>
    <cellStyle name="Note 2 2 2 2 3 3 3" xfId="14224" xr:uid="{A9A86B24-0FDC-4BAE-BA06-06BEC1F54C3D}"/>
    <cellStyle name="Note 2 2 2 2 3 4" xfId="18447" xr:uid="{58D4339E-87EA-4634-B07D-3B62E5F4778E}"/>
    <cellStyle name="Note 2 2 2 2 3 5" xfId="9973" xr:uid="{39C02812-1007-4B29-A563-161AFE73CDAE}"/>
    <cellStyle name="Note 2 2 2 2 4" xfId="1837" xr:uid="{00000000-0005-0000-0000-0000A0200000}"/>
    <cellStyle name="Note 2 2 2 2 4 2" xfId="4066" xr:uid="{00000000-0005-0000-0000-0000A1200000}"/>
    <cellStyle name="Note 2 2 2 2 4 2 2" xfId="8288" xr:uid="{00000000-0005-0000-0000-0000A2200000}"/>
    <cellStyle name="Note 2 2 2 2 4 2 2 2" xfId="25223" xr:uid="{7DB9FCBD-7CBF-4F3B-88F8-3209C2DA289F}"/>
    <cellStyle name="Note 2 2 2 2 4 2 2 3" xfId="16782" xr:uid="{5B9A2A17-5844-439C-A6E9-364118295E38}"/>
    <cellStyle name="Note 2 2 2 2 4 2 3" xfId="21005" xr:uid="{47BA6BF8-E06B-4828-9D73-AAA4E6E14898}"/>
    <cellStyle name="Note 2 2 2 2 4 2 4" xfId="12563" xr:uid="{09BE0846-3DB9-4C94-BC8F-93ECF36FD63B}"/>
    <cellStyle name="Note 2 2 2 2 4 3" xfId="6143" xr:uid="{00000000-0005-0000-0000-0000A3200000}"/>
    <cellStyle name="Note 2 2 2 2 4 3 2" xfId="23078" xr:uid="{727F7976-3F1D-4600-B2A3-6AA12EC9CA0E}"/>
    <cellStyle name="Note 2 2 2 2 4 3 3" xfId="14637" xr:uid="{F296562E-69FF-4566-81DD-7E540F0948E6}"/>
    <cellStyle name="Note 2 2 2 2 4 4" xfId="18860" xr:uid="{8F00B6F6-47F3-4466-8689-6E6A6E34A5C1}"/>
    <cellStyle name="Note 2 2 2 2 4 5" xfId="10386" xr:uid="{AA742784-85FA-4DB4-96D8-E669DBB79C32}"/>
    <cellStyle name="Note 2 2 2 2 5" xfId="2250" xr:uid="{00000000-0005-0000-0000-0000A4200000}"/>
    <cellStyle name="Note 2 2 2 2 5 2" xfId="4479" xr:uid="{00000000-0005-0000-0000-0000A5200000}"/>
    <cellStyle name="Note 2 2 2 2 5 2 2" xfId="8701" xr:uid="{00000000-0005-0000-0000-0000A6200000}"/>
    <cellStyle name="Note 2 2 2 2 5 2 2 2" xfId="25636" xr:uid="{F67ACF28-9C9F-4C97-816D-EA9BC8AC4E1D}"/>
    <cellStyle name="Note 2 2 2 2 5 2 2 3" xfId="17195" xr:uid="{FE0A2B3C-CA23-4835-A12B-92902AE0DADD}"/>
    <cellStyle name="Note 2 2 2 2 5 2 3" xfId="21418" xr:uid="{6CB7C312-1565-4B5E-8EF5-206EC03B3BF0}"/>
    <cellStyle name="Note 2 2 2 2 5 2 4" xfId="12976" xr:uid="{D744BB16-6F19-461D-A903-2F06F9F0D5D8}"/>
    <cellStyle name="Note 2 2 2 2 5 3" xfId="6556" xr:uid="{00000000-0005-0000-0000-0000A7200000}"/>
    <cellStyle name="Note 2 2 2 2 5 3 2" xfId="23491" xr:uid="{73AB71BB-D43A-4B3F-8498-8F128AACAB6B}"/>
    <cellStyle name="Note 2 2 2 2 5 3 3" xfId="15050" xr:uid="{6766B922-31F1-4B8E-ADE6-2E6CB9D07A5E}"/>
    <cellStyle name="Note 2 2 2 2 5 4" xfId="19273" xr:uid="{DE13D194-651D-4FC0-82BB-A178A822D7AE}"/>
    <cellStyle name="Note 2 2 2 2 5 5" xfId="10799" xr:uid="{7F30D17C-65D8-4FD4-8594-7ECC565998E0}"/>
    <cellStyle name="Note 2 2 2 2 6" xfId="2686" xr:uid="{00000000-0005-0000-0000-0000A8200000}"/>
    <cellStyle name="Note 2 2 2 2 6 2" xfId="6969" xr:uid="{00000000-0005-0000-0000-0000A9200000}"/>
    <cellStyle name="Note 2 2 2 2 6 2 2" xfId="23904" xr:uid="{CB643951-EC8F-4003-B473-A67125C01A03}"/>
    <cellStyle name="Note 2 2 2 2 6 2 3" xfId="15463" xr:uid="{97BB6B73-2E65-4289-B7D1-1FD125A0BB43}"/>
    <cellStyle name="Note 2 2 2 2 6 3" xfId="19686" xr:uid="{7996BD7A-CDB9-482E-87CE-8A8FA07A8C7B}"/>
    <cellStyle name="Note 2 2 2 2 6 4" xfId="11234" xr:uid="{3F4AA8F6-6631-4376-A262-6E89E82981FD}"/>
    <cellStyle name="Note 2 2 2 2 7" xfId="2745" xr:uid="{00000000-0005-0000-0000-0000AA200000}"/>
    <cellStyle name="Note 2 2 2 2 8" xfId="2826" xr:uid="{00000000-0005-0000-0000-0000AB200000}"/>
    <cellStyle name="Note 2 2 2 2 8 2" xfId="7049" xr:uid="{00000000-0005-0000-0000-0000AC200000}"/>
    <cellStyle name="Note 2 2 2 2 8 2 2" xfId="23984" xr:uid="{748E1CF0-A49B-4CAE-B78E-38BE6B1F4D40}"/>
    <cellStyle name="Note 2 2 2 2 8 2 3" xfId="15543" xr:uid="{0766ECF4-33EF-44E5-8881-C63B6D77D38C}"/>
    <cellStyle name="Note 2 2 2 2 8 3" xfId="19766" xr:uid="{9F48EF6C-6CB5-439C-AAA5-975C07BBB090}"/>
    <cellStyle name="Note 2 2 2 2 8 4" xfId="11324" xr:uid="{7381B2B7-5A32-412B-8AE3-74595EABA7A5}"/>
    <cellStyle name="Note 2 2 2 2 9" xfId="4904" xr:uid="{00000000-0005-0000-0000-0000AD200000}"/>
    <cellStyle name="Note 2 2 2 2 9 2" xfId="21839" xr:uid="{056352B2-B0EA-4167-AE20-D72FBB0275CE}"/>
    <cellStyle name="Note 2 2 2 2 9 3" xfId="13398" xr:uid="{04FCFA17-FD10-49E0-A65C-423A53BA195E}"/>
    <cellStyle name="Note 2 2 2 3" xfId="1007" xr:uid="{00000000-0005-0000-0000-0000AE200000}"/>
    <cellStyle name="Note 2 2 2 3 2" xfId="3239" xr:uid="{00000000-0005-0000-0000-0000AF200000}"/>
    <cellStyle name="Note 2 2 2 3 2 2" xfId="7461" xr:uid="{00000000-0005-0000-0000-0000B0200000}"/>
    <cellStyle name="Note 2 2 2 3 2 2 2" xfId="24396" xr:uid="{83516CEB-4F9B-4DB8-9AB6-BA33EDA058BF}"/>
    <cellStyle name="Note 2 2 2 3 2 2 3" xfId="15955" xr:uid="{4D4E4F7F-0213-4389-88B5-85C1A4FAD464}"/>
    <cellStyle name="Note 2 2 2 3 2 3" xfId="20178" xr:uid="{BEBAA123-F0BF-4576-BF48-4FF4768ED134}"/>
    <cellStyle name="Note 2 2 2 3 2 4" xfId="11736" xr:uid="{C8C2AD68-388D-42CE-BB70-7FD69BE0F75B}"/>
    <cellStyle name="Note 2 2 2 3 3" xfId="5316" xr:uid="{00000000-0005-0000-0000-0000B1200000}"/>
    <cellStyle name="Note 2 2 2 3 3 2" xfId="22251" xr:uid="{B623E5D5-B292-4A8B-BDE1-2CCAF34DF881}"/>
    <cellStyle name="Note 2 2 2 3 3 3" xfId="13810" xr:uid="{53FE02C5-7426-4F27-97CF-CAB4F1FFD161}"/>
    <cellStyle name="Note 2 2 2 3 4" xfId="18033" xr:uid="{1C6EFB4C-D857-4ADD-983D-888FD1CA5C26}"/>
    <cellStyle name="Note 2 2 2 3 5" xfId="9559" xr:uid="{0C32A9F9-8400-4736-87D6-80E0691E9669}"/>
    <cellStyle name="Note 2 2 2 4" xfId="1422" xr:uid="{00000000-0005-0000-0000-0000B2200000}"/>
    <cellStyle name="Note 2 2 2 4 2" xfId="3652" xr:uid="{00000000-0005-0000-0000-0000B3200000}"/>
    <cellStyle name="Note 2 2 2 4 2 2" xfId="7874" xr:uid="{00000000-0005-0000-0000-0000B4200000}"/>
    <cellStyle name="Note 2 2 2 4 2 2 2" xfId="24809" xr:uid="{7A0FE4AF-7790-4FEC-88DA-37808C6B2AEA}"/>
    <cellStyle name="Note 2 2 2 4 2 2 3" xfId="16368" xr:uid="{4600DE8B-F59A-4247-B073-69362A8ADA40}"/>
    <cellStyle name="Note 2 2 2 4 2 3" xfId="20591" xr:uid="{BAD3D36A-B53A-4942-851A-538F1638BA01}"/>
    <cellStyle name="Note 2 2 2 4 2 4" xfId="12149" xr:uid="{D9AB016A-4DA7-43C0-BCD4-C13E5BD0468E}"/>
    <cellStyle name="Note 2 2 2 4 3" xfId="5729" xr:uid="{00000000-0005-0000-0000-0000B5200000}"/>
    <cellStyle name="Note 2 2 2 4 3 2" xfId="22664" xr:uid="{C20E34A3-1A1D-44B1-BBE9-BDB8B58C6C2E}"/>
    <cellStyle name="Note 2 2 2 4 3 3" xfId="14223" xr:uid="{C8E5C9F0-65FF-4832-8340-A937F6CE0B3E}"/>
    <cellStyle name="Note 2 2 2 4 4" xfId="18446" xr:uid="{B6895C10-6418-43E7-B33C-493836D8AB51}"/>
    <cellStyle name="Note 2 2 2 4 5" xfId="9972" xr:uid="{2DEFD586-595C-459A-A60E-80A357F75F6D}"/>
    <cellStyle name="Note 2 2 2 5" xfId="1836" xr:uid="{00000000-0005-0000-0000-0000B6200000}"/>
    <cellStyle name="Note 2 2 2 5 2" xfId="4065" xr:uid="{00000000-0005-0000-0000-0000B7200000}"/>
    <cellStyle name="Note 2 2 2 5 2 2" xfId="8287" xr:uid="{00000000-0005-0000-0000-0000B8200000}"/>
    <cellStyle name="Note 2 2 2 5 2 2 2" xfId="25222" xr:uid="{17BAB98F-EF2D-460B-80DA-2DA76A30D214}"/>
    <cellStyle name="Note 2 2 2 5 2 2 3" xfId="16781" xr:uid="{7029BE2F-E982-4065-9EB8-2D5BBFA54347}"/>
    <cellStyle name="Note 2 2 2 5 2 3" xfId="21004" xr:uid="{A0CBFA5F-8DC4-4184-86E5-55DE7AA7CC4B}"/>
    <cellStyle name="Note 2 2 2 5 2 4" xfId="12562" xr:uid="{85955E3F-4928-4E4A-9167-92EA09420CFF}"/>
    <cellStyle name="Note 2 2 2 5 3" xfId="6142" xr:uid="{00000000-0005-0000-0000-0000B9200000}"/>
    <cellStyle name="Note 2 2 2 5 3 2" xfId="23077" xr:uid="{6D44F43D-B6E3-4A88-94AA-643B909FFD9C}"/>
    <cellStyle name="Note 2 2 2 5 3 3" xfId="14636" xr:uid="{FBE9C0E1-5B9D-4F37-90EC-D93DF429C202}"/>
    <cellStyle name="Note 2 2 2 5 4" xfId="18859" xr:uid="{C90C15D6-F06B-4D33-8C23-EC3D35AFD98E}"/>
    <cellStyle name="Note 2 2 2 5 5" xfId="10385" xr:uid="{F38D2F2B-9EC7-4F97-A227-91E93D915735}"/>
    <cellStyle name="Note 2 2 2 6" xfId="2249" xr:uid="{00000000-0005-0000-0000-0000BA200000}"/>
    <cellStyle name="Note 2 2 2 6 2" xfId="4478" xr:uid="{00000000-0005-0000-0000-0000BB200000}"/>
    <cellStyle name="Note 2 2 2 6 2 2" xfId="8700" xr:uid="{00000000-0005-0000-0000-0000BC200000}"/>
    <cellStyle name="Note 2 2 2 6 2 2 2" xfId="25635" xr:uid="{D7908A37-BFA6-4CB5-A5D0-948D329FC907}"/>
    <cellStyle name="Note 2 2 2 6 2 2 3" xfId="17194" xr:uid="{B123B1F7-804D-4510-AF84-8CDB28EF6DD9}"/>
    <cellStyle name="Note 2 2 2 6 2 3" xfId="21417" xr:uid="{C3FA7C88-A3D1-4041-A1D4-29855F77FBA6}"/>
    <cellStyle name="Note 2 2 2 6 2 4" xfId="12975" xr:uid="{2E19FF8F-CBD9-463E-B44B-54A3BD352005}"/>
    <cellStyle name="Note 2 2 2 6 3" xfId="6555" xr:uid="{00000000-0005-0000-0000-0000BD200000}"/>
    <cellStyle name="Note 2 2 2 6 3 2" xfId="23490" xr:uid="{608C9DE7-A141-430B-ACA4-2B5A32EE93E8}"/>
    <cellStyle name="Note 2 2 2 6 3 3" xfId="15049" xr:uid="{2D2A7786-7E34-4762-9915-7BF07A26403C}"/>
    <cellStyle name="Note 2 2 2 6 4" xfId="19272" xr:uid="{5FA0EC7F-65F4-4425-8427-2AD9526D285C}"/>
    <cellStyle name="Note 2 2 2 6 5" xfId="10798" xr:uid="{AD7D6C70-C291-4879-ABBB-6DAAE19ABE5F}"/>
    <cellStyle name="Note 2 2 2 7" xfId="2685" xr:uid="{00000000-0005-0000-0000-0000BE200000}"/>
    <cellStyle name="Note 2 2 2 7 2" xfId="6968" xr:uid="{00000000-0005-0000-0000-0000BF200000}"/>
    <cellStyle name="Note 2 2 2 7 2 2" xfId="23903" xr:uid="{2A4D7BEF-525F-4A68-8305-060240B2FFDD}"/>
    <cellStyle name="Note 2 2 2 7 2 3" xfId="15462" xr:uid="{D83ABD76-AE32-4668-914A-F762F6CB9488}"/>
    <cellStyle name="Note 2 2 2 7 3" xfId="19685" xr:uid="{DD751FDA-8C73-4971-AAE2-32544C55CDA4}"/>
    <cellStyle name="Note 2 2 2 7 4" xfId="11233" xr:uid="{4653D818-0CFF-4856-827F-B4A368F67678}"/>
    <cellStyle name="Note 2 2 2 8" xfId="2744" xr:uid="{00000000-0005-0000-0000-0000C0200000}"/>
    <cellStyle name="Note 2 2 2 9" xfId="2825" xr:uid="{00000000-0005-0000-0000-0000C1200000}"/>
    <cellStyle name="Note 2 2 2 9 2" xfId="7048" xr:uid="{00000000-0005-0000-0000-0000C2200000}"/>
    <cellStyle name="Note 2 2 2 9 2 2" xfId="23983" xr:uid="{A257B9DC-67D4-4620-A505-E967C1F8D58E}"/>
    <cellStyle name="Note 2 2 2 9 2 3" xfId="15542" xr:uid="{BC4DA774-B2F9-4A3A-8291-2B1C47988FDF}"/>
    <cellStyle name="Note 2 2 2 9 3" xfId="19765" xr:uid="{FA66E872-0E85-4BD4-BC42-CA7CB4003ABB}"/>
    <cellStyle name="Note 2 2 2 9 4" xfId="11323" xr:uid="{8B60E8F5-0FAB-462D-88E6-3551EC27152E}"/>
    <cellStyle name="Note 2 2 3" xfId="548" xr:uid="{00000000-0005-0000-0000-0000C3200000}"/>
    <cellStyle name="Note 2 2 3 10" xfId="17622" xr:uid="{C1CC7DCB-9B9E-4209-9014-140F147B8CEC}"/>
    <cellStyle name="Note 2 2 3 11" xfId="9147" xr:uid="{92D26414-76AD-495B-91CA-DC288F28082D}"/>
    <cellStyle name="Note 2 2 3 2" xfId="1009" xr:uid="{00000000-0005-0000-0000-0000C4200000}"/>
    <cellStyle name="Note 2 2 3 2 2" xfId="3241" xr:uid="{00000000-0005-0000-0000-0000C5200000}"/>
    <cellStyle name="Note 2 2 3 2 2 2" xfId="7463" xr:uid="{00000000-0005-0000-0000-0000C6200000}"/>
    <cellStyle name="Note 2 2 3 2 2 2 2" xfId="24398" xr:uid="{044353E5-7E74-43DD-8013-233EA787791F}"/>
    <cellStyle name="Note 2 2 3 2 2 2 3" xfId="15957" xr:uid="{898F8FF8-E319-48A3-BB30-F72FC4615B02}"/>
    <cellStyle name="Note 2 2 3 2 2 3" xfId="20180" xr:uid="{08984C70-3231-411F-B690-9D731AD7004D}"/>
    <cellStyle name="Note 2 2 3 2 2 4" xfId="11738" xr:uid="{9583E5BA-9554-447D-BB7E-E32DC6D869A9}"/>
    <cellStyle name="Note 2 2 3 2 3" xfId="5318" xr:uid="{00000000-0005-0000-0000-0000C7200000}"/>
    <cellStyle name="Note 2 2 3 2 3 2" xfId="22253" xr:uid="{8EB42990-8ECF-4A54-B39E-2A094B3624F3}"/>
    <cellStyle name="Note 2 2 3 2 3 3" xfId="13812" xr:uid="{39D8712A-3D7A-4C1B-BE38-26079A66D124}"/>
    <cellStyle name="Note 2 2 3 2 4" xfId="18035" xr:uid="{C20199C9-ACC1-486F-B4DB-AE175A67DC37}"/>
    <cellStyle name="Note 2 2 3 2 5" xfId="9561" xr:uid="{EB3C70E6-7741-462B-A2FB-D7217F033E63}"/>
    <cellStyle name="Note 2 2 3 3" xfId="1424" xr:uid="{00000000-0005-0000-0000-0000C8200000}"/>
    <cellStyle name="Note 2 2 3 3 2" xfId="3654" xr:uid="{00000000-0005-0000-0000-0000C9200000}"/>
    <cellStyle name="Note 2 2 3 3 2 2" xfId="7876" xr:uid="{00000000-0005-0000-0000-0000CA200000}"/>
    <cellStyle name="Note 2 2 3 3 2 2 2" xfId="24811" xr:uid="{849D15DF-4828-4199-9384-E7A62A0AF075}"/>
    <cellStyle name="Note 2 2 3 3 2 2 3" xfId="16370" xr:uid="{7C8CD6FE-1D32-4D12-8D11-1649B0337EBF}"/>
    <cellStyle name="Note 2 2 3 3 2 3" xfId="20593" xr:uid="{A69B2101-9441-4703-B978-6DD4F14C1A6B}"/>
    <cellStyle name="Note 2 2 3 3 2 4" xfId="12151" xr:uid="{D806BE19-5AE0-488F-BE4F-B73259ABF514}"/>
    <cellStyle name="Note 2 2 3 3 3" xfId="5731" xr:uid="{00000000-0005-0000-0000-0000CB200000}"/>
    <cellStyle name="Note 2 2 3 3 3 2" xfId="22666" xr:uid="{CD3A8640-AE3A-4752-9A11-B5C8EB974FF4}"/>
    <cellStyle name="Note 2 2 3 3 3 3" xfId="14225" xr:uid="{9EE54B88-99C9-4CF2-85FC-109BF5F65EA5}"/>
    <cellStyle name="Note 2 2 3 3 4" xfId="18448" xr:uid="{0B790570-EA2A-494B-A765-CE4B5B7640DB}"/>
    <cellStyle name="Note 2 2 3 3 5" xfId="9974" xr:uid="{DB22BDEF-0D67-42C6-A872-525700AE2C48}"/>
    <cellStyle name="Note 2 2 3 4" xfId="1838" xr:uid="{00000000-0005-0000-0000-0000CC200000}"/>
    <cellStyle name="Note 2 2 3 4 2" xfId="4067" xr:uid="{00000000-0005-0000-0000-0000CD200000}"/>
    <cellStyle name="Note 2 2 3 4 2 2" xfId="8289" xr:uid="{00000000-0005-0000-0000-0000CE200000}"/>
    <cellStyle name="Note 2 2 3 4 2 2 2" xfId="25224" xr:uid="{0556F8DE-0378-4521-BC69-291020719663}"/>
    <cellStyle name="Note 2 2 3 4 2 2 3" xfId="16783" xr:uid="{4736E5B5-2C3B-4502-A6F9-7D5247904683}"/>
    <cellStyle name="Note 2 2 3 4 2 3" xfId="21006" xr:uid="{49E0E3B7-D001-4FB2-87CA-5079A245C06B}"/>
    <cellStyle name="Note 2 2 3 4 2 4" xfId="12564" xr:uid="{8352B789-1685-4B0B-A805-48A47446186E}"/>
    <cellStyle name="Note 2 2 3 4 3" xfId="6144" xr:uid="{00000000-0005-0000-0000-0000CF200000}"/>
    <cellStyle name="Note 2 2 3 4 3 2" xfId="23079" xr:uid="{ABD53DD3-DBD7-4F50-B052-23280DA88B6C}"/>
    <cellStyle name="Note 2 2 3 4 3 3" xfId="14638" xr:uid="{7ACAFAB3-C83D-4AA3-A6D1-800A3E076E0C}"/>
    <cellStyle name="Note 2 2 3 4 4" xfId="18861" xr:uid="{EEECBAFD-AFE5-40AC-8B38-2FDE9273754F}"/>
    <cellStyle name="Note 2 2 3 4 5" xfId="10387" xr:uid="{8DD32D6D-A4B3-48A9-8A3C-173B2733490D}"/>
    <cellStyle name="Note 2 2 3 5" xfId="2251" xr:uid="{00000000-0005-0000-0000-0000D0200000}"/>
    <cellStyle name="Note 2 2 3 5 2" xfId="4480" xr:uid="{00000000-0005-0000-0000-0000D1200000}"/>
    <cellStyle name="Note 2 2 3 5 2 2" xfId="8702" xr:uid="{00000000-0005-0000-0000-0000D2200000}"/>
    <cellStyle name="Note 2 2 3 5 2 2 2" xfId="25637" xr:uid="{3726DC2E-61CB-43F8-9806-5057F1C569DE}"/>
    <cellStyle name="Note 2 2 3 5 2 2 3" xfId="17196" xr:uid="{52DF88F4-FE8B-4BAC-9484-D9543D84B349}"/>
    <cellStyle name="Note 2 2 3 5 2 3" xfId="21419" xr:uid="{81EAD113-33DE-4030-9A84-C58B26BD85B4}"/>
    <cellStyle name="Note 2 2 3 5 2 4" xfId="12977" xr:uid="{BC574A39-BB96-4B3E-9B04-A2A154E92BEF}"/>
    <cellStyle name="Note 2 2 3 5 3" xfId="6557" xr:uid="{00000000-0005-0000-0000-0000D3200000}"/>
    <cellStyle name="Note 2 2 3 5 3 2" xfId="23492" xr:uid="{C3ADFA12-914D-45C2-A7B1-C7AF745C34C4}"/>
    <cellStyle name="Note 2 2 3 5 3 3" xfId="15051" xr:uid="{45D954F2-FB1D-4869-B825-977F3F28A861}"/>
    <cellStyle name="Note 2 2 3 5 4" xfId="19274" xr:uid="{67855630-EFDB-4173-996A-22EDDB26C3AB}"/>
    <cellStyle name="Note 2 2 3 5 5" xfId="10800" xr:uid="{E08E4A5A-293D-40B6-A818-5E333043AA38}"/>
    <cellStyle name="Note 2 2 3 6" xfId="2687" xr:uid="{00000000-0005-0000-0000-0000D4200000}"/>
    <cellStyle name="Note 2 2 3 6 2" xfId="6970" xr:uid="{00000000-0005-0000-0000-0000D5200000}"/>
    <cellStyle name="Note 2 2 3 6 2 2" xfId="23905" xr:uid="{B5BA540D-9EA6-4274-976C-DD060268BB23}"/>
    <cellStyle name="Note 2 2 3 6 2 3" xfId="15464" xr:uid="{E3610B7A-68DC-47F9-8AF0-5FEA449D7D49}"/>
    <cellStyle name="Note 2 2 3 6 3" xfId="19687" xr:uid="{DAFE93A9-BB01-4DDB-ADEC-187D860D7AA9}"/>
    <cellStyle name="Note 2 2 3 6 4" xfId="11235" xr:uid="{19FB6AF6-72F2-4F8E-A0FD-76C285CD66C3}"/>
    <cellStyle name="Note 2 2 3 7" xfId="2746" xr:uid="{00000000-0005-0000-0000-0000D6200000}"/>
    <cellStyle name="Note 2 2 3 8" xfId="2827" xr:uid="{00000000-0005-0000-0000-0000D7200000}"/>
    <cellStyle name="Note 2 2 3 8 2" xfId="7050" xr:uid="{00000000-0005-0000-0000-0000D8200000}"/>
    <cellStyle name="Note 2 2 3 8 2 2" xfId="23985" xr:uid="{D043834C-C781-4A20-A27D-075A45591376}"/>
    <cellStyle name="Note 2 2 3 8 2 3" xfId="15544" xr:uid="{99EC1516-396A-410F-86DC-971B06311518}"/>
    <cellStyle name="Note 2 2 3 8 3" xfId="19767" xr:uid="{BC7DE69C-EFCD-4D86-BC4E-5E0CFA94FC92}"/>
    <cellStyle name="Note 2 2 3 8 4" xfId="11325" xr:uid="{26E8655B-E5F6-41DF-B157-96FE0927646E}"/>
    <cellStyle name="Note 2 2 3 9" xfId="4905" xr:uid="{00000000-0005-0000-0000-0000D9200000}"/>
    <cellStyle name="Note 2 2 3 9 2" xfId="21840" xr:uid="{71C8EE28-2FB8-497D-9560-CF9BF3B0FA93}"/>
    <cellStyle name="Note 2 2 3 9 3" xfId="13399" xr:uid="{D0A5161B-4DA3-4291-B034-891895C9A73B}"/>
    <cellStyle name="Note 2 2 4" xfId="1006" xr:uid="{00000000-0005-0000-0000-0000DA200000}"/>
    <cellStyle name="Note 2 2 4 2" xfId="3238" xr:uid="{00000000-0005-0000-0000-0000DB200000}"/>
    <cellStyle name="Note 2 2 4 2 2" xfId="7460" xr:uid="{00000000-0005-0000-0000-0000DC200000}"/>
    <cellStyle name="Note 2 2 4 2 2 2" xfId="24395" xr:uid="{C7135CE4-6566-428D-88D5-FB3B92455DB6}"/>
    <cellStyle name="Note 2 2 4 2 2 3" xfId="15954" xr:uid="{849CBB7C-2586-4C48-B100-A58FF773ECD2}"/>
    <cellStyle name="Note 2 2 4 2 3" xfId="20177" xr:uid="{7BED289B-3D9F-4195-8FF2-CF7BEBE401CA}"/>
    <cellStyle name="Note 2 2 4 2 4" xfId="11735" xr:uid="{CBE2AE66-9ABF-4CFA-AE3A-E706F16378C1}"/>
    <cellStyle name="Note 2 2 4 3" xfId="5315" xr:uid="{00000000-0005-0000-0000-0000DD200000}"/>
    <cellStyle name="Note 2 2 4 3 2" xfId="22250" xr:uid="{074B4ECC-2730-41D5-AEC7-B322EB01B6DE}"/>
    <cellStyle name="Note 2 2 4 3 3" xfId="13809" xr:uid="{7E3C9676-9726-49BB-9A86-93B9CC1F9FDE}"/>
    <cellStyle name="Note 2 2 4 4" xfId="18032" xr:uid="{2FBE1400-3A62-413F-BADA-13BDDFC2F77C}"/>
    <cellStyle name="Note 2 2 4 5" xfId="9558" xr:uid="{13506DF6-9EBB-4D9A-96C2-C44CCD20C47E}"/>
    <cellStyle name="Note 2 2 5" xfId="1421" xr:uid="{00000000-0005-0000-0000-0000DE200000}"/>
    <cellStyle name="Note 2 2 5 2" xfId="3651" xr:uid="{00000000-0005-0000-0000-0000DF200000}"/>
    <cellStyle name="Note 2 2 5 2 2" xfId="7873" xr:uid="{00000000-0005-0000-0000-0000E0200000}"/>
    <cellStyle name="Note 2 2 5 2 2 2" xfId="24808" xr:uid="{A3952F6A-DC6A-42BE-8CD3-38EA477070F4}"/>
    <cellStyle name="Note 2 2 5 2 2 3" xfId="16367" xr:uid="{EED1497F-620D-45B2-9A61-EF46E598CCD3}"/>
    <cellStyle name="Note 2 2 5 2 3" xfId="20590" xr:uid="{A36E5F55-ADCD-43AD-9406-84C83CDE2C97}"/>
    <cellStyle name="Note 2 2 5 2 4" xfId="12148" xr:uid="{BD7A7771-F9ED-47A3-BEC9-FA7C847E27F8}"/>
    <cellStyle name="Note 2 2 5 3" xfId="5728" xr:uid="{00000000-0005-0000-0000-0000E1200000}"/>
    <cellStyle name="Note 2 2 5 3 2" xfId="22663" xr:uid="{E82C6DAF-9E09-4A20-9A5B-1B7AE2B9F15B}"/>
    <cellStyle name="Note 2 2 5 3 3" xfId="14222" xr:uid="{3B31E301-9EAF-46A8-B848-F91E519D3246}"/>
    <cellStyle name="Note 2 2 5 4" xfId="18445" xr:uid="{4AD0E8F7-FC9D-4599-936F-844E20D6B0F6}"/>
    <cellStyle name="Note 2 2 5 5" xfId="9971" xr:uid="{78D09C18-117B-469C-B0DF-491BEF19F620}"/>
    <cellStyle name="Note 2 2 6" xfId="1835" xr:uid="{00000000-0005-0000-0000-0000E2200000}"/>
    <cellStyle name="Note 2 2 6 2" xfId="4064" xr:uid="{00000000-0005-0000-0000-0000E3200000}"/>
    <cellStyle name="Note 2 2 6 2 2" xfId="8286" xr:uid="{00000000-0005-0000-0000-0000E4200000}"/>
    <cellStyle name="Note 2 2 6 2 2 2" xfId="25221" xr:uid="{E44F4D57-92B1-42CA-9545-92A07CD38E46}"/>
    <cellStyle name="Note 2 2 6 2 2 3" xfId="16780" xr:uid="{51CF1BD3-CCC6-453F-892B-0E39FE2C0511}"/>
    <cellStyle name="Note 2 2 6 2 3" xfId="21003" xr:uid="{4E9300D8-E7E5-4C2F-A653-0065BA312798}"/>
    <cellStyle name="Note 2 2 6 2 4" xfId="12561" xr:uid="{E5AD772F-A8E8-4E31-BB0D-7E3C30EBE013}"/>
    <cellStyle name="Note 2 2 6 3" xfId="6141" xr:uid="{00000000-0005-0000-0000-0000E5200000}"/>
    <cellStyle name="Note 2 2 6 3 2" xfId="23076" xr:uid="{6923333C-AEB8-46BB-A054-F9137E1C86DA}"/>
    <cellStyle name="Note 2 2 6 3 3" xfId="14635" xr:uid="{DE481447-1B47-47B5-B174-D3992EB2499A}"/>
    <cellStyle name="Note 2 2 6 4" xfId="18858" xr:uid="{59D2959A-CAAB-48ED-840F-F9ACB7E0D797}"/>
    <cellStyle name="Note 2 2 6 5" xfId="10384" xr:uid="{3C71D261-3110-4B3D-AF04-A20C34D8D4F9}"/>
    <cellStyle name="Note 2 2 7" xfId="2248" xr:uid="{00000000-0005-0000-0000-0000E6200000}"/>
    <cellStyle name="Note 2 2 7 2" xfId="4477" xr:uid="{00000000-0005-0000-0000-0000E7200000}"/>
    <cellStyle name="Note 2 2 7 2 2" xfId="8699" xr:uid="{00000000-0005-0000-0000-0000E8200000}"/>
    <cellStyle name="Note 2 2 7 2 2 2" xfId="25634" xr:uid="{271EA105-BA62-4FAE-AB52-04DC55776324}"/>
    <cellStyle name="Note 2 2 7 2 2 3" xfId="17193" xr:uid="{6AAB6139-3FBA-428E-9E71-BBE9F0A6FA6A}"/>
    <cellStyle name="Note 2 2 7 2 3" xfId="21416" xr:uid="{8A2BBC11-FDAB-48B7-A860-8AE8D5650EB4}"/>
    <cellStyle name="Note 2 2 7 2 4" xfId="12974" xr:uid="{4691DAD1-B0C0-434C-8118-FA17930B8042}"/>
    <cellStyle name="Note 2 2 7 3" xfId="6554" xr:uid="{00000000-0005-0000-0000-0000E9200000}"/>
    <cellStyle name="Note 2 2 7 3 2" xfId="23489" xr:uid="{9109AA2D-6633-493E-8B84-B2D0B463DACD}"/>
    <cellStyle name="Note 2 2 7 3 3" xfId="15048" xr:uid="{D00863D8-29A0-449A-8D97-ABBFEECA8D9E}"/>
    <cellStyle name="Note 2 2 7 4" xfId="19271" xr:uid="{E75AD9C9-7258-43FD-84E7-A574C1949C5F}"/>
    <cellStyle name="Note 2 2 7 5" xfId="10797" xr:uid="{FC263407-DC37-4623-BEE7-5970C4692678}"/>
    <cellStyle name="Note 2 2 8" xfId="2684" xr:uid="{00000000-0005-0000-0000-0000EA200000}"/>
    <cellStyle name="Note 2 2 8 2" xfId="6967" xr:uid="{00000000-0005-0000-0000-0000EB200000}"/>
    <cellStyle name="Note 2 2 8 2 2" xfId="23902" xr:uid="{9DED9C7E-9A27-425B-8F03-6B06A00C0896}"/>
    <cellStyle name="Note 2 2 8 2 3" xfId="15461" xr:uid="{3A2DEBC3-0EBD-4C73-A0A5-67F0DD1390FC}"/>
    <cellStyle name="Note 2 2 8 3" xfId="19684" xr:uid="{CEDCC1D8-7DF1-49BB-AC85-900AB34EB7E0}"/>
    <cellStyle name="Note 2 2 8 4" xfId="11232" xr:uid="{43F5BCA2-2046-4B7F-AD00-121FA113F555}"/>
    <cellStyle name="Note 2 2 9" xfId="2743" xr:uid="{00000000-0005-0000-0000-0000EC200000}"/>
    <cellStyle name="Note 2 3" xfId="549" xr:uid="{00000000-0005-0000-0000-0000ED200000}"/>
    <cellStyle name="Note 2 3 10" xfId="4906" xr:uid="{00000000-0005-0000-0000-0000EE200000}"/>
    <cellStyle name="Note 2 3 10 2" xfId="21841" xr:uid="{F636D6A2-EE6F-4FA7-BBBA-9BDDD6F63027}"/>
    <cellStyle name="Note 2 3 10 3" xfId="13400" xr:uid="{F81A8E75-D6D2-4702-B651-4571034FD4FA}"/>
    <cellStyle name="Note 2 3 11" xfId="17623" xr:uid="{C2FBC202-EDB5-4A5E-8424-9A19E08093A6}"/>
    <cellStyle name="Note 2 3 12" xfId="9148" xr:uid="{DA894F16-5D9D-499E-9438-4ACDACE75E6E}"/>
    <cellStyle name="Note 2 3 2" xfId="550" xr:uid="{00000000-0005-0000-0000-0000EF200000}"/>
    <cellStyle name="Note 2 3 2 10" xfId="17624" xr:uid="{C4674794-FCD0-479B-9FF2-78A049C77D90}"/>
    <cellStyle name="Note 2 3 2 11" xfId="9149" xr:uid="{247D960F-7556-487F-A5BD-EE6B0AA4CD19}"/>
    <cellStyle name="Note 2 3 2 2" xfId="1011" xr:uid="{00000000-0005-0000-0000-0000F0200000}"/>
    <cellStyle name="Note 2 3 2 2 2" xfId="3243" xr:uid="{00000000-0005-0000-0000-0000F1200000}"/>
    <cellStyle name="Note 2 3 2 2 2 2" xfId="7465" xr:uid="{00000000-0005-0000-0000-0000F2200000}"/>
    <cellStyle name="Note 2 3 2 2 2 2 2" xfId="24400" xr:uid="{40965C60-2CAC-4B61-A10C-AFEB599FFCCD}"/>
    <cellStyle name="Note 2 3 2 2 2 2 3" xfId="15959" xr:uid="{E0524A8C-B591-436F-8C91-E47AAE6664BD}"/>
    <cellStyle name="Note 2 3 2 2 2 3" xfId="20182" xr:uid="{55FFEAA3-4676-4DD7-9710-7457137F1F7A}"/>
    <cellStyle name="Note 2 3 2 2 2 4" xfId="11740" xr:uid="{0811DC85-FBBC-47C9-AF09-0185646A5784}"/>
    <cellStyle name="Note 2 3 2 2 3" xfId="5320" xr:uid="{00000000-0005-0000-0000-0000F3200000}"/>
    <cellStyle name="Note 2 3 2 2 3 2" xfId="22255" xr:uid="{25E5EA84-94F6-4E2B-B5BD-09AAB2AB0354}"/>
    <cellStyle name="Note 2 3 2 2 3 3" xfId="13814" xr:uid="{339F8346-FCA3-47EE-9C0E-42E6B3DFC91F}"/>
    <cellStyle name="Note 2 3 2 2 4" xfId="18037" xr:uid="{8862223A-6A8F-4AB3-89D1-39D9C7F8D047}"/>
    <cellStyle name="Note 2 3 2 2 5" xfId="9563" xr:uid="{3B0CFFC4-35C3-4CA5-A199-3E8D31F0DD01}"/>
    <cellStyle name="Note 2 3 2 3" xfId="1426" xr:uid="{00000000-0005-0000-0000-0000F4200000}"/>
    <cellStyle name="Note 2 3 2 3 2" xfId="3656" xr:uid="{00000000-0005-0000-0000-0000F5200000}"/>
    <cellStyle name="Note 2 3 2 3 2 2" xfId="7878" xr:uid="{00000000-0005-0000-0000-0000F6200000}"/>
    <cellStyle name="Note 2 3 2 3 2 2 2" xfId="24813" xr:uid="{889A2B88-6B5E-42FB-9EFF-91E8D2C420EB}"/>
    <cellStyle name="Note 2 3 2 3 2 2 3" xfId="16372" xr:uid="{242FB1F3-304D-4025-82B5-BDEAAC2234FA}"/>
    <cellStyle name="Note 2 3 2 3 2 3" xfId="20595" xr:uid="{32A0D0C0-985E-4674-9445-1EE79E9DE72E}"/>
    <cellStyle name="Note 2 3 2 3 2 4" xfId="12153" xr:uid="{BEA03483-CB72-422A-871C-4BFC14193276}"/>
    <cellStyle name="Note 2 3 2 3 3" xfId="5733" xr:uid="{00000000-0005-0000-0000-0000F7200000}"/>
    <cellStyle name="Note 2 3 2 3 3 2" xfId="22668" xr:uid="{2C9726AA-2CC5-426D-B9CF-5C4CA5BE3F44}"/>
    <cellStyle name="Note 2 3 2 3 3 3" xfId="14227" xr:uid="{1D1AC24A-4DBD-4B20-B16E-D5E2CA99D032}"/>
    <cellStyle name="Note 2 3 2 3 4" xfId="18450" xr:uid="{AF38D873-D48C-417C-86D1-4FFF4FEEE023}"/>
    <cellStyle name="Note 2 3 2 3 5" xfId="9976" xr:uid="{110C574A-EB04-44E2-893A-5D29EFDDF9C0}"/>
    <cellStyle name="Note 2 3 2 4" xfId="1840" xr:uid="{00000000-0005-0000-0000-0000F8200000}"/>
    <cellStyle name="Note 2 3 2 4 2" xfId="4069" xr:uid="{00000000-0005-0000-0000-0000F9200000}"/>
    <cellStyle name="Note 2 3 2 4 2 2" xfId="8291" xr:uid="{00000000-0005-0000-0000-0000FA200000}"/>
    <cellStyle name="Note 2 3 2 4 2 2 2" xfId="25226" xr:uid="{20789441-42AC-4FE8-BC41-50340DD2C8D9}"/>
    <cellStyle name="Note 2 3 2 4 2 2 3" xfId="16785" xr:uid="{5A95C82A-8B38-47BA-B9CA-38F06A9C4AEF}"/>
    <cellStyle name="Note 2 3 2 4 2 3" xfId="21008" xr:uid="{D2C24BEC-A128-4A65-902E-B4E8A4F75566}"/>
    <cellStyle name="Note 2 3 2 4 2 4" xfId="12566" xr:uid="{43EC0CCE-A3F5-4CB5-B9CC-7ECF1C2B4447}"/>
    <cellStyle name="Note 2 3 2 4 3" xfId="6146" xr:uid="{00000000-0005-0000-0000-0000FB200000}"/>
    <cellStyle name="Note 2 3 2 4 3 2" xfId="23081" xr:uid="{B3EE78C9-3E7D-4E03-8E70-6D9B2B68B1CF}"/>
    <cellStyle name="Note 2 3 2 4 3 3" xfId="14640" xr:uid="{F5EBA9B8-901E-4659-940F-4E659CD3FC81}"/>
    <cellStyle name="Note 2 3 2 4 4" xfId="18863" xr:uid="{E62C8BAB-8E19-4652-9293-444DE74A3D9F}"/>
    <cellStyle name="Note 2 3 2 4 5" xfId="10389" xr:uid="{90A039F5-6CD8-4B51-A0DF-3E70D7962C36}"/>
    <cellStyle name="Note 2 3 2 5" xfId="2253" xr:uid="{00000000-0005-0000-0000-0000FC200000}"/>
    <cellStyle name="Note 2 3 2 5 2" xfId="4482" xr:uid="{00000000-0005-0000-0000-0000FD200000}"/>
    <cellStyle name="Note 2 3 2 5 2 2" xfId="8704" xr:uid="{00000000-0005-0000-0000-0000FE200000}"/>
    <cellStyle name="Note 2 3 2 5 2 2 2" xfId="25639" xr:uid="{60616738-C3DC-4337-81E6-13F790B09C5F}"/>
    <cellStyle name="Note 2 3 2 5 2 2 3" xfId="17198" xr:uid="{BE586346-7EF4-40E8-9830-11B3083B7614}"/>
    <cellStyle name="Note 2 3 2 5 2 3" xfId="21421" xr:uid="{E46ADF4B-8F94-4323-B24C-4B7A7D0E4FBA}"/>
    <cellStyle name="Note 2 3 2 5 2 4" xfId="12979" xr:uid="{84F5EFB8-0686-4F3E-91B8-BA2929FBD566}"/>
    <cellStyle name="Note 2 3 2 5 3" xfId="6559" xr:uid="{00000000-0005-0000-0000-0000FF200000}"/>
    <cellStyle name="Note 2 3 2 5 3 2" xfId="23494" xr:uid="{B1C28B04-30BD-48B2-ADA9-24F791DE2AB6}"/>
    <cellStyle name="Note 2 3 2 5 3 3" xfId="15053" xr:uid="{653565FF-5AEB-4203-8EF4-34885C1B766B}"/>
    <cellStyle name="Note 2 3 2 5 4" xfId="19276" xr:uid="{7D1B1D3B-E0FC-4AF8-B13D-87F313946C5B}"/>
    <cellStyle name="Note 2 3 2 5 5" xfId="10802" xr:uid="{9E3CD1C0-4A3A-4E7E-87E6-4F802B0F1B02}"/>
    <cellStyle name="Note 2 3 2 6" xfId="2689" xr:uid="{00000000-0005-0000-0000-000000210000}"/>
    <cellStyle name="Note 2 3 2 6 2" xfId="6972" xr:uid="{00000000-0005-0000-0000-000001210000}"/>
    <cellStyle name="Note 2 3 2 6 2 2" xfId="23907" xr:uid="{1E5AFBB0-5757-44E3-A390-CC1884DD4C10}"/>
    <cellStyle name="Note 2 3 2 6 2 3" xfId="15466" xr:uid="{1E168971-67A7-451B-B3BF-85D03BEAA0C9}"/>
    <cellStyle name="Note 2 3 2 6 3" xfId="19689" xr:uid="{22E1FBA3-4BC1-4321-BAA0-E02870AA3272}"/>
    <cellStyle name="Note 2 3 2 6 4" xfId="11237" xr:uid="{47334130-A28C-448E-9D55-8E6C7829C139}"/>
    <cellStyle name="Note 2 3 2 7" xfId="2748" xr:uid="{00000000-0005-0000-0000-000002210000}"/>
    <cellStyle name="Note 2 3 2 8" xfId="2829" xr:uid="{00000000-0005-0000-0000-000003210000}"/>
    <cellStyle name="Note 2 3 2 8 2" xfId="7052" xr:uid="{00000000-0005-0000-0000-000004210000}"/>
    <cellStyle name="Note 2 3 2 8 2 2" xfId="23987" xr:uid="{0ED8B9AC-E51E-4AAB-A951-70D89040062D}"/>
    <cellStyle name="Note 2 3 2 8 2 3" xfId="15546" xr:uid="{1E14CDBA-6F70-423D-B624-01B8823FAE90}"/>
    <cellStyle name="Note 2 3 2 8 3" xfId="19769" xr:uid="{F8B8691E-77AA-4000-99F3-CB218E07D5C9}"/>
    <cellStyle name="Note 2 3 2 8 4" xfId="11327" xr:uid="{BC06267F-A7FE-4B5F-B828-BE76DED1861C}"/>
    <cellStyle name="Note 2 3 2 9" xfId="4907" xr:uid="{00000000-0005-0000-0000-000005210000}"/>
    <cellStyle name="Note 2 3 2 9 2" xfId="21842" xr:uid="{8DCB0813-2272-4F83-8C0F-C4ACF045EDEF}"/>
    <cellStyle name="Note 2 3 2 9 3" xfId="13401" xr:uid="{69591AA0-47E5-46BE-BB7D-D108158EE6EF}"/>
    <cellStyle name="Note 2 3 3" xfId="1010" xr:uid="{00000000-0005-0000-0000-000006210000}"/>
    <cellStyle name="Note 2 3 3 2" xfId="3242" xr:uid="{00000000-0005-0000-0000-000007210000}"/>
    <cellStyle name="Note 2 3 3 2 2" xfId="7464" xr:uid="{00000000-0005-0000-0000-000008210000}"/>
    <cellStyle name="Note 2 3 3 2 2 2" xfId="24399" xr:uid="{13558FD0-AAF0-4B04-8F23-B415669500E8}"/>
    <cellStyle name="Note 2 3 3 2 2 3" xfId="15958" xr:uid="{87749A89-46D8-4FD0-A2F6-F95D5632B33B}"/>
    <cellStyle name="Note 2 3 3 2 3" xfId="20181" xr:uid="{6B637FC4-0FE6-4511-B635-E642D8C36C82}"/>
    <cellStyle name="Note 2 3 3 2 4" xfId="11739" xr:uid="{6E24A80B-7337-4933-B2C6-E6BAA3482644}"/>
    <cellStyle name="Note 2 3 3 3" xfId="5319" xr:uid="{00000000-0005-0000-0000-000009210000}"/>
    <cellStyle name="Note 2 3 3 3 2" xfId="22254" xr:uid="{0EA24725-FB4D-4122-9C88-CCFB19B77AF8}"/>
    <cellStyle name="Note 2 3 3 3 3" xfId="13813" xr:uid="{46406E19-5045-4CCA-AA3F-729C95D4E355}"/>
    <cellStyle name="Note 2 3 3 4" xfId="18036" xr:uid="{94A5D43B-9E46-4751-BDE2-A55A41A242D4}"/>
    <cellStyle name="Note 2 3 3 5" xfId="9562" xr:uid="{4971604A-CB88-4E3D-A22D-05C45D68D121}"/>
    <cellStyle name="Note 2 3 4" xfId="1425" xr:uid="{00000000-0005-0000-0000-00000A210000}"/>
    <cellStyle name="Note 2 3 4 2" xfId="3655" xr:uid="{00000000-0005-0000-0000-00000B210000}"/>
    <cellStyle name="Note 2 3 4 2 2" xfId="7877" xr:uid="{00000000-0005-0000-0000-00000C210000}"/>
    <cellStyle name="Note 2 3 4 2 2 2" xfId="24812" xr:uid="{EB6111A3-807E-4B10-9BA5-363D3C6B8EDD}"/>
    <cellStyle name="Note 2 3 4 2 2 3" xfId="16371" xr:uid="{84D77EF5-5BCA-44F1-8D6D-DA29E653E605}"/>
    <cellStyle name="Note 2 3 4 2 3" xfId="20594" xr:uid="{C32302B8-3CB7-4D03-9EC1-398B2376B223}"/>
    <cellStyle name="Note 2 3 4 2 4" xfId="12152" xr:uid="{60D8E63C-BB47-4B8F-BD09-4703C64B6A46}"/>
    <cellStyle name="Note 2 3 4 3" xfId="5732" xr:uid="{00000000-0005-0000-0000-00000D210000}"/>
    <cellStyle name="Note 2 3 4 3 2" xfId="22667" xr:uid="{8D205600-640D-427D-A17C-11E7D66E18DC}"/>
    <cellStyle name="Note 2 3 4 3 3" xfId="14226" xr:uid="{88A12A34-560D-4C65-8806-C52A2374AA41}"/>
    <cellStyle name="Note 2 3 4 4" xfId="18449" xr:uid="{6D14033B-BCD1-42A7-856C-0CB3AC77E8F6}"/>
    <cellStyle name="Note 2 3 4 5" xfId="9975" xr:uid="{DAEAA550-89F5-4188-B719-93875A601040}"/>
    <cellStyle name="Note 2 3 5" xfId="1839" xr:uid="{00000000-0005-0000-0000-00000E210000}"/>
    <cellStyle name="Note 2 3 5 2" xfId="4068" xr:uid="{00000000-0005-0000-0000-00000F210000}"/>
    <cellStyle name="Note 2 3 5 2 2" xfId="8290" xr:uid="{00000000-0005-0000-0000-000010210000}"/>
    <cellStyle name="Note 2 3 5 2 2 2" xfId="25225" xr:uid="{A33F02B8-1074-4B54-BF69-35AC1F531359}"/>
    <cellStyle name="Note 2 3 5 2 2 3" xfId="16784" xr:uid="{0D5D0DF2-E23B-4F81-8962-2CDB032FEE51}"/>
    <cellStyle name="Note 2 3 5 2 3" xfId="21007" xr:uid="{B572342D-87F7-49C3-9F04-2F224C78EE77}"/>
    <cellStyle name="Note 2 3 5 2 4" xfId="12565" xr:uid="{549AD701-D5DA-4AB4-921B-87BF76D1ADCA}"/>
    <cellStyle name="Note 2 3 5 3" xfId="6145" xr:uid="{00000000-0005-0000-0000-000011210000}"/>
    <cellStyle name="Note 2 3 5 3 2" xfId="23080" xr:uid="{988BBBC6-B18F-491C-BA4B-E1E6E85E051E}"/>
    <cellStyle name="Note 2 3 5 3 3" xfId="14639" xr:uid="{8E923615-E7F0-4977-A719-5A0FE3878BC6}"/>
    <cellStyle name="Note 2 3 5 4" xfId="18862" xr:uid="{D18863F3-2E3D-4CAC-AB65-2AAD3197204F}"/>
    <cellStyle name="Note 2 3 5 5" xfId="10388" xr:uid="{DB04162A-F56F-4741-993B-89EB61444447}"/>
    <cellStyle name="Note 2 3 6" xfId="2252" xr:uid="{00000000-0005-0000-0000-000012210000}"/>
    <cellStyle name="Note 2 3 6 2" xfId="4481" xr:uid="{00000000-0005-0000-0000-000013210000}"/>
    <cellStyle name="Note 2 3 6 2 2" xfId="8703" xr:uid="{00000000-0005-0000-0000-000014210000}"/>
    <cellStyle name="Note 2 3 6 2 2 2" xfId="25638" xr:uid="{308D562F-863D-40C6-8D7D-CE2EB2C146BC}"/>
    <cellStyle name="Note 2 3 6 2 2 3" xfId="17197" xr:uid="{428514BB-D4EA-4F1D-8FD8-73E0340F1706}"/>
    <cellStyle name="Note 2 3 6 2 3" xfId="21420" xr:uid="{9DD2B3A6-DB83-4621-B8A2-21784D2D129D}"/>
    <cellStyle name="Note 2 3 6 2 4" xfId="12978" xr:uid="{96C4F038-5CC8-48B3-BECA-A3F5DE4DC844}"/>
    <cellStyle name="Note 2 3 6 3" xfId="6558" xr:uid="{00000000-0005-0000-0000-000015210000}"/>
    <cellStyle name="Note 2 3 6 3 2" xfId="23493" xr:uid="{C6E07888-BD83-43C8-95A8-51BFE7FDE517}"/>
    <cellStyle name="Note 2 3 6 3 3" xfId="15052" xr:uid="{AFE48D95-2E7C-4DAA-BF81-5797EC04DDE6}"/>
    <cellStyle name="Note 2 3 6 4" xfId="19275" xr:uid="{F0F51909-FA27-4A5D-8AD2-EB3876B9CFCE}"/>
    <cellStyle name="Note 2 3 6 5" xfId="10801" xr:uid="{E2239B02-BDC2-4B6B-B8CC-C363201F9D2E}"/>
    <cellStyle name="Note 2 3 7" xfId="2688" xr:uid="{00000000-0005-0000-0000-000016210000}"/>
    <cellStyle name="Note 2 3 7 2" xfId="6971" xr:uid="{00000000-0005-0000-0000-000017210000}"/>
    <cellStyle name="Note 2 3 7 2 2" xfId="23906" xr:uid="{E5166F18-E48F-417B-8E56-C2DC872E283F}"/>
    <cellStyle name="Note 2 3 7 2 3" xfId="15465" xr:uid="{DCAC019C-B41B-4D91-A114-088DDF471E4E}"/>
    <cellStyle name="Note 2 3 7 3" xfId="19688" xr:uid="{372E7421-9B00-494A-885D-D130FDA514AE}"/>
    <cellStyle name="Note 2 3 7 4" xfId="11236" xr:uid="{E34FE223-5088-445C-8313-04299ACBDDD7}"/>
    <cellStyle name="Note 2 3 8" xfId="2747" xr:uid="{00000000-0005-0000-0000-000018210000}"/>
    <cellStyle name="Note 2 3 9" xfId="2828" xr:uid="{00000000-0005-0000-0000-000019210000}"/>
    <cellStyle name="Note 2 3 9 2" xfId="7051" xr:uid="{00000000-0005-0000-0000-00001A210000}"/>
    <cellStyle name="Note 2 3 9 2 2" xfId="23986" xr:uid="{C17A495E-B5E7-4020-8033-CE06D86FCF39}"/>
    <cellStyle name="Note 2 3 9 2 3" xfId="15545" xr:uid="{F55A437D-187E-41DB-B0E2-E63DB9745600}"/>
    <cellStyle name="Note 2 3 9 3" xfId="19768" xr:uid="{2428E05F-EF92-4697-AB7B-FBA3BFF59CBE}"/>
    <cellStyle name="Note 2 3 9 4" xfId="11326" xr:uid="{2C755252-2E83-4A67-BE31-EA5CA97C340F}"/>
    <cellStyle name="Note 2 4" xfId="551" xr:uid="{00000000-0005-0000-0000-00001B210000}"/>
    <cellStyle name="Note 2 4 10" xfId="17625" xr:uid="{BDD6464F-961D-4235-B57D-208F09DCE798}"/>
    <cellStyle name="Note 2 4 11" xfId="9150" xr:uid="{5DC79C24-4D0D-4D78-9ED7-810AC5403A4D}"/>
    <cellStyle name="Note 2 4 2" xfId="1012" xr:uid="{00000000-0005-0000-0000-00001C210000}"/>
    <cellStyle name="Note 2 4 2 2" xfId="3244" xr:uid="{00000000-0005-0000-0000-00001D210000}"/>
    <cellStyle name="Note 2 4 2 2 2" xfId="7466" xr:uid="{00000000-0005-0000-0000-00001E210000}"/>
    <cellStyle name="Note 2 4 2 2 2 2" xfId="24401" xr:uid="{199E1886-1DFB-4BAA-B5B8-C789273B3962}"/>
    <cellStyle name="Note 2 4 2 2 2 3" xfId="15960" xr:uid="{2F96F1C2-7E77-4EFE-949E-81CFE1352ABC}"/>
    <cellStyle name="Note 2 4 2 2 3" xfId="20183" xr:uid="{BF09A9A7-2AEE-43CF-8C87-6EC5740BD2D3}"/>
    <cellStyle name="Note 2 4 2 2 4" xfId="11741" xr:uid="{B3F755DA-1820-4E88-8718-37536B5C916B}"/>
    <cellStyle name="Note 2 4 2 3" xfId="5321" xr:uid="{00000000-0005-0000-0000-00001F210000}"/>
    <cellStyle name="Note 2 4 2 3 2" xfId="22256" xr:uid="{33DEFBA6-61B9-4CB4-853B-2EA02FFA076E}"/>
    <cellStyle name="Note 2 4 2 3 3" xfId="13815" xr:uid="{554C1C77-8AEA-448C-94CA-3F1B3FE8FCA5}"/>
    <cellStyle name="Note 2 4 2 4" xfId="18038" xr:uid="{B1AF6295-9EEA-4445-A37E-B1DEA125B1BC}"/>
    <cellStyle name="Note 2 4 2 5" xfId="9564" xr:uid="{9F273382-C3FF-4103-92BC-557BFC540C50}"/>
    <cellStyle name="Note 2 4 3" xfId="1427" xr:uid="{00000000-0005-0000-0000-000020210000}"/>
    <cellStyle name="Note 2 4 3 2" xfId="3657" xr:uid="{00000000-0005-0000-0000-000021210000}"/>
    <cellStyle name="Note 2 4 3 2 2" xfId="7879" xr:uid="{00000000-0005-0000-0000-000022210000}"/>
    <cellStyle name="Note 2 4 3 2 2 2" xfId="24814" xr:uid="{FB795019-7B1F-4C44-866B-EC29044CC52E}"/>
    <cellStyle name="Note 2 4 3 2 2 3" xfId="16373" xr:uid="{E6696982-573E-484F-984C-5D9D8BD47E5C}"/>
    <cellStyle name="Note 2 4 3 2 3" xfId="20596" xr:uid="{96C3D197-98EB-48B4-9AAD-66D14E0199EF}"/>
    <cellStyle name="Note 2 4 3 2 4" xfId="12154" xr:uid="{EA0DFCAD-F732-43F3-8FBC-FD1D6BD44478}"/>
    <cellStyle name="Note 2 4 3 3" xfId="5734" xr:uid="{00000000-0005-0000-0000-000023210000}"/>
    <cellStyle name="Note 2 4 3 3 2" xfId="22669" xr:uid="{34289BCC-79A1-411E-8B5F-55E02EF21BA8}"/>
    <cellStyle name="Note 2 4 3 3 3" xfId="14228" xr:uid="{2CFD24A7-E2BC-4553-8AB9-D55E078B917C}"/>
    <cellStyle name="Note 2 4 3 4" xfId="18451" xr:uid="{C5F78919-4C43-449E-89CD-9CEE76BD399E}"/>
    <cellStyle name="Note 2 4 3 5" xfId="9977" xr:uid="{FBC620E0-220D-4E1F-AEF4-DFF8D0B168FB}"/>
    <cellStyle name="Note 2 4 4" xfId="1841" xr:uid="{00000000-0005-0000-0000-000024210000}"/>
    <cellStyle name="Note 2 4 4 2" xfId="4070" xr:uid="{00000000-0005-0000-0000-000025210000}"/>
    <cellStyle name="Note 2 4 4 2 2" xfId="8292" xr:uid="{00000000-0005-0000-0000-000026210000}"/>
    <cellStyle name="Note 2 4 4 2 2 2" xfId="25227" xr:uid="{C1A8288A-918C-4681-865C-7D03F7876769}"/>
    <cellStyle name="Note 2 4 4 2 2 3" xfId="16786" xr:uid="{3B41CDF7-2814-41E6-B056-FFE3DFF0F5D7}"/>
    <cellStyle name="Note 2 4 4 2 3" xfId="21009" xr:uid="{95087D6D-2136-405C-A225-27035EA7F86F}"/>
    <cellStyle name="Note 2 4 4 2 4" xfId="12567" xr:uid="{261CA0F6-FE14-4BFF-8001-47864209F989}"/>
    <cellStyle name="Note 2 4 4 3" xfId="6147" xr:uid="{00000000-0005-0000-0000-000027210000}"/>
    <cellStyle name="Note 2 4 4 3 2" xfId="23082" xr:uid="{B9FA4BDF-EF90-471E-9B3D-0886AA66CB4B}"/>
    <cellStyle name="Note 2 4 4 3 3" xfId="14641" xr:uid="{979B08C5-7512-4E90-B64F-0753D44C437D}"/>
    <cellStyle name="Note 2 4 4 4" xfId="18864" xr:uid="{2A75379D-A54A-4B23-83D1-64427B97B273}"/>
    <cellStyle name="Note 2 4 4 5" xfId="10390" xr:uid="{C95CF012-8AFB-4AB5-A827-292EAFE33F28}"/>
    <cellStyle name="Note 2 4 5" xfId="2254" xr:uid="{00000000-0005-0000-0000-000028210000}"/>
    <cellStyle name="Note 2 4 5 2" xfId="4483" xr:uid="{00000000-0005-0000-0000-000029210000}"/>
    <cellStyle name="Note 2 4 5 2 2" xfId="8705" xr:uid="{00000000-0005-0000-0000-00002A210000}"/>
    <cellStyle name="Note 2 4 5 2 2 2" xfId="25640" xr:uid="{E0B3679E-D24C-4138-99B0-2A097994CCB0}"/>
    <cellStyle name="Note 2 4 5 2 2 3" xfId="17199" xr:uid="{837A3D27-33C6-4B57-A1AB-40D7555604B7}"/>
    <cellStyle name="Note 2 4 5 2 3" xfId="21422" xr:uid="{DC4E5AC8-DB37-43A4-89B1-E8C142CEBC0D}"/>
    <cellStyle name="Note 2 4 5 2 4" xfId="12980" xr:uid="{8E419794-958E-4ACB-96CD-EA374A643AE4}"/>
    <cellStyle name="Note 2 4 5 3" xfId="6560" xr:uid="{00000000-0005-0000-0000-00002B210000}"/>
    <cellStyle name="Note 2 4 5 3 2" xfId="23495" xr:uid="{7A060535-73F1-4096-AE95-27AC8FCAB424}"/>
    <cellStyle name="Note 2 4 5 3 3" xfId="15054" xr:uid="{2E8A8914-7611-4974-A17D-19D19AB5CFC0}"/>
    <cellStyle name="Note 2 4 5 4" xfId="19277" xr:uid="{2967F175-AECC-4F1B-842C-4EDB6A951284}"/>
    <cellStyle name="Note 2 4 5 5" xfId="10803" xr:uid="{4E5FDA8E-1851-433F-925A-C098D7496E9C}"/>
    <cellStyle name="Note 2 4 6" xfId="2690" xr:uid="{00000000-0005-0000-0000-00002C210000}"/>
    <cellStyle name="Note 2 4 6 2" xfId="6973" xr:uid="{00000000-0005-0000-0000-00002D210000}"/>
    <cellStyle name="Note 2 4 6 2 2" xfId="23908" xr:uid="{7B1A9A80-0F8D-45D6-AFD6-07E11AE6DF05}"/>
    <cellStyle name="Note 2 4 6 2 3" xfId="15467" xr:uid="{1EE44E36-149C-45AF-899D-101EAF9C2B88}"/>
    <cellStyle name="Note 2 4 6 3" xfId="19690" xr:uid="{D2E61D0D-FF89-47F5-8AAE-4EDC3CFCF20E}"/>
    <cellStyle name="Note 2 4 6 4" xfId="11238" xr:uid="{10E8FAC1-8634-453E-8B6E-446BBB522644}"/>
    <cellStyle name="Note 2 4 7" xfId="2749" xr:uid="{00000000-0005-0000-0000-00002E210000}"/>
    <cellStyle name="Note 2 4 8" xfId="2830" xr:uid="{00000000-0005-0000-0000-00002F210000}"/>
    <cellStyle name="Note 2 4 8 2" xfId="7053" xr:uid="{00000000-0005-0000-0000-000030210000}"/>
    <cellStyle name="Note 2 4 8 2 2" xfId="23988" xr:uid="{371A4C71-5965-4C59-9061-C1DC59616CAE}"/>
    <cellStyle name="Note 2 4 8 2 3" xfId="15547" xr:uid="{05CEA28A-839C-4DA9-9A55-036E287264A4}"/>
    <cellStyle name="Note 2 4 8 3" xfId="19770" xr:uid="{233CABF8-03C3-4993-B5D4-E61FE1C01987}"/>
    <cellStyle name="Note 2 4 8 4" xfId="11328" xr:uid="{B08029FE-8639-4567-9FCD-E787294A41A0}"/>
    <cellStyle name="Note 2 4 9" xfId="4908" xr:uid="{00000000-0005-0000-0000-000031210000}"/>
    <cellStyle name="Note 2 4 9 2" xfId="21843" xr:uid="{EA7B4417-E7D1-4032-915F-7829319A2EEE}"/>
    <cellStyle name="Note 2 4 9 3" xfId="13402" xr:uid="{FA57EA14-C4DC-4878-BBA2-16CB06383C1D}"/>
    <cellStyle name="Note 2 5" xfId="552" xr:uid="{00000000-0005-0000-0000-000032210000}"/>
    <cellStyle name="Note 2 5 10" xfId="17626" xr:uid="{660E6D73-6D35-4991-B586-39B1DF74C459}"/>
    <cellStyle name="Note 2 5 11" xfId="9151" xr:uid="{DC00BC42-D080-4F90-81D9-FC9060DADBAC}"/>
    <cellStyle name="Note 2 5 2" xfId="1013" xr:uid="{00000000-0005-0000-0000-000033210000}"/>
    <cellStyle name="Note 2 5 2 2" xfId="3245" xr:uid="{00000000-0005-0000-0000-000034210000}"/>
    <cellStyle name="Note 2 5 2 2 2" xfId="7467" xr:uid="{00000000-0005-0000-0000-000035210000}"/>
    <cellStyle name="Note 2 5 2 2 2 2" xfId="24402" xr:uid="{0561AA62-CC71-4744-A3F5-4E20E9DC1AD4}"/>
    <cellStyle name="Note 2 5 2 2 2 3" xfId="15961" xr:uid="{1CA29D9C-AF82-46B4-B3B6-F19A446599D3}"/>
    <cellStyle name="Note 2 5 2 2 3" xfId="20184" xr:uid="{5602D6F8-B7AA-470D-BA43-000B1653DE90}"/>
    <cellStyle name="Note 2 5 2 2 4" xfId="11742" xr:uid="{4017C0DD-6092-4F8F-ACCC-AB836DE14D54}"/>
    <cellStyle name="Note 2 5 2 3" xfId="5322" xr:uid="{00000000-0005-0000-0000-000036210000}"/>
    <cellStyle name="Note 2 5 2 3 2" xfId="22257" xr:uid="{B67D9292-F029-41F0-B1A4-062376261809}"/>
    <cellStyle name="Note 2 5 2 3 3" xfId="13816" xr:uid="{81E720BB-42DE-4E97-8148-1DFE8458F49A}"/>
    <cellStyle name="Note 2 5 2 4" xfId="18039" xr:uid="{148CE32F-97D0-4B78-9960-1B3A3723FEDD}"/>
    <cellStyle name="Note 2 5 2 5" xfId="9565" xr:uid="{B25CBC0C-589D-4BD8-B333-E4D07BC827DA}"/>
    <cellStyle name="Note 2 5 3" xfId="1428" xr:uid="{00000000-0005-0000-0000-000037210000}"/>
    <cellStyle name="Note 2 5 3 2" xfId="3658" xr:uid="{00000000-0005-0000-0000-000038210000}"/>
    <cellStyle name="Note 2 5 3 2 2" xfId="7880" xr:uid="{00000000-0005-0000-0000-000039210000}"/>
    <cellStyle name="Note 2 5 3 2 2 2" xfId="24815" xr:uid="{274F13A4-0E8B-4422-B43E-A364C88F3B51}"/>
    <cellStyle name="Note 2 5 3 2 2 3" xfId="16374" xr:uid="{D5043D5A-ED24-49E7-A677-5D706A44EDD9}"/>
    <cellStyle name="Note 2 5 3 2 3" xfId="20597" xr:uid="{872A2F03-D905-4F29-A710-9881B419C86F}"/>
    <cellStyle name="Note 2 5 3 2 4" xfId="12155" xr:uid="{01AE4A16-D5E7-4A37-B59D-848193CB2749}"/>
    <cellStyle name="Note 2 5 3 3" xfId="5735" xr:uid="{00000000-0005-0000-0000-00003A210000}"/>
    <cellStyle name="Note 2 5 3 3 2" xfId="22670" xr:uid="{C1C34146-6613-4647-8652-75FF6735A52E}"/>
    <cellStyle name="Note 2 5 3 3 3" xfId="14229" xr:uid="{317E91DA-6039-45B7-9346-88EF3531DAE8}"/>
    <cellStyle name="Note 2 5 3 4" xfId="18452" xr:uid="{A1963EF4-C03A-4CD7-85CB-25338D978C42}"/>
    <cellStyle name="Note 2 5 3 5" xfId="9978" xr:uid="{8CACD1D3-3DF2-4F6D-A742-20238DB00C05}"/>
    <cellStyle name="Note 2 5 4" xfId="1842" xr:uid="{00000000-0005-0000-0000-00003B210000}"/>
    <cellStyle name="Note 2 5 4 2" xfId="4071" xr:uid="{00000000-0005-0000-0000-00003C210000}"/>
    <cellStyle name="Note 2 5 4 2 2" xfId="8293" xr:uid="{00000000-0005-0000-0000-00003D210000}"/>
    <cellStyle name="Note 2 5 4 2 2 2" xfId="25228" xr:uid="{989342CA-45F1-4984-BAB4-B2AA797F1A3D}"/>
    <cellStyle name="Note 2 5 4 2 2 3" xfId="16787" xr:uid="{EF985839-B90C-40D7-9328-72716FADD891}"/>
    <cellStyle name="Note 2 5 4 2 3" xfId="21010" xr:uid="{1988737F-D981-4973-A58A-994044E7894C}"/>
    <cellStyle name="Note 2 5 4 2 4" xfId="12568" xr:uid="{B7B3D77A-22DC-4965-913B-D37068DA3E7A}"/>
    <cellStyle name="Note 2 5 4 3" xfId="6148" xr:uid="{00000000-0005-0000-0000-00003E210000}"/>
    <cellStyle name="Note 2 5 4 3 2" xfId="23083" xr:uid="{A71EE08A-C052-43E4-B4D7-1760154789EB}"/>
    <cellStyle name="Note 2 5 4 3 3" xfId="14642" xr:uid="{3B1832A6-7144-42FD-AAFF-3056989B1EDE}"/>
    <cellStyle name="Note 2 5 4 4" xfId="18865" xr:uid="{39D43C97-EE1A-4BD9-AE51-9B2FE5E34A70}"/>
    <cellStyle name="Note 2 5 4 5" xfId="10391" xr:uid="{85C7C01D-087D-4B4F-B3F2-0BF68A055AE3}"/>
    <cellStyle name="Note 2 5 5" xfId="2255" xr:uid="{00000000-0005-0000-0000-00003F210000}"/>
    <cellStyle name="Note 2 5 5 2" xfId="4484" xr:uid="{00000000-0005-0000-0000-000040210000}"/>
    <cellStyle name="Note 2 5 5 2 2" xfId="8706" xr:uid="{00000000-0005-0000-0000-000041210000}"/>
    <cellStyle name="Note 2 5 5 2 2 2" xfId="25641" xr:uid="{F77C7AF6-C9B4-4EBD-833A-01983183AFF8}"/>
    <cellStyle name="Note 2 5 5 2 2 3" xfId="17200" xr:uid="{18F622B7-D407-4B7E-A394-BC8ACE3EC9B7}"/>
    <cellStyle name="Note 2 5 5 2 3" xfId="21423" xr:uid="{E9467C56-CAEE-4055-A664-2CEC1222A0BB}"/>
    <cellStyle name="Note 2 5 5 2 4" xfId="12981" xr:uid="{A23F2174-C567-46FA-9935-32B5CDFC6D8E}"/>
    <cellStyle name="Note 2 5 5 3" xfId="6561" xr:uid="{00000000-0005-0000-0000-000042210000}"/>
    <cellStyle name="Note 2 5 5 3 2" xfId="23496" xr:uid="{69A71761-601C-48F7-80AF-45EF84367462}"/>
    <cellStyle name="Note 2 5 5 3 3" xfId="15055" xr:uid="{CE03AD85-5592-47EC-9693-EBB204F6476C}"/>
    <cellStyle name="Note 2 5 5 4" xfId="19278" xr:uid="{9753C87F-55EC-4D42-AE17-FB38BDF583BF}"/>
    <cellStyle name="Note 2 5 5 5" xfId="10804" xr:uid="{C875333B-9E99-4CD3-A8FF-D38E3B7B7937}"/>
    <cellStyle name="Note 2 5 6" xfId="2691" xr:uid="{00000000-0005-0000-0000-000043210000}"/>
    <cellStyle name="Note 2 5 6 2" xfId="6974" xr:uid="{00000000-0005-0000-0000-000044210000}"/>
    <cellStyle name="Note 2 5 6 2 2" xfId="23909" xr:uid="{D20CA1D2-3688-45FD-B41D-862ABD90BFFF}"/>
    <cellStyle name="Note 2 5 6 2 3" xfId="15468" xr:uid="{1F2EAE0A-CC62-43EB-B35B-95954A988A30}"/>
    <cellStyle name="Note 2 5 6 3" xfId="19691" xr:uid="{D6ADBE1A-D360-436D-B92A-C11736949F57}"/>
    <cellStyle name="Note 2 5 6 4" xfId="11239" xr:uid="{75EC1FA5-79BD-4E46-8E9F-732314F60E85}"/>
    <cellStyle name="Note 2 5 7" xfId="2750" xr:uid="{00000000-0005-0000-0000-000045210000}"/>
    <cellStyle name="Note 2 5 8" xfId="2831" xr:uid="{00000000-0005-0000-0000-000046210000}"/>
    <cellStyle name="Note 2 5 8 2" xfId="7054" xr:uid="{00000000-0005-0000-0000-000047210000}"/>
    <cellStyle name="Note 2 5 8 2 2" xfId="23989" xr:uid="{21BE1584-784C-41CB-98FE-4347C89E365A}"/>
    <cellStyle name="Note 2 5 8 2 3" xfId="15548" xr:uid="{39DB3949-7B44-4912-A23A-A6A57A514E1A}"/>
    <cellStyle name="Note 2 5 8 3" xfId="19771" xr:uid="{3978937D-B516-4C43-9D0B-DCBA8A346E3E}"/>
    <cellStyle name="Note 2 5 8 4" xfId="11329" xr:uid="{45577CEF-DFDA-49A4-B0B9-6FEAA3EDAC81}"/>
    <cellStyle name="Note 2 5 9" xfId="4909" xr:uid="{00000000-0005-0000-0000-000048210000}"/>
    <cellStyle name="Note 2 5 9 2" xfId="21844" xr:uid="{B8FF7462-096B-4051-AC67-C2A72C6A3D0E}"/>
    <cellStyle name="Note 2 5 9 3" xfId="13403" xr:uid="{BFE299BE-5E54-4A2A-AE31-A72F954E415F}"/>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3990" xr:uid="{02EDD6FA-B990-4172-AD13-149E041BBA3A}"/>
    <cellStyle name="Note 3 2 10 2 3" xfId="15549" xr:uid="{37378FF6-27FC-4152-A5AE-3DD8088D9EFE}"/>
    <cellStyle name="Note 3 2 10 3" xfId="19772" xr:uid="{30B60B7C-2035-4620-B9D5-30A3955ECEE2}"/>
    <cellStyle name="Note 3 2 10 4" xfId="11330" xr:uid="{8B35D4D8-0780-4FCA-9BE9-35ED055F373D}"/>
    <cellStyle name="Note 3 2 11" xfId="4910" xr:uid="{00000000-0005-0000-0000-00004D210000}"/>
    <cellStyle name="Note 3 2 11 2" xfId="21845" xr:uid="{3BD00EBC-94CF-4FB2-9582-77520BFA02BD}"/>
    <cellStyle name="Note 3 2 11 3" xfId="13404" xr:uid="{68464795-F704-40D9-8261-AE5DBEBD731B}"/>
    <cellStyle name="Note 3 2 12" xfId="17627" xr:uid="{F8C21F99-F4EA-4A5C-A106-D691B22C6964}"/>
    <cellStyle name="Note 3 2 13" xfId="9152" xr:uid="{83DD9BCF-7258-4A23-B72D-AEE75EA43E9B}"/>
    <cellStyle name="Note 3 2 2" xfId="555" xr:uid="{00000000-0005-0000-0000-00004E210000}"/>
    <cellStyle name="Note 3 2 2 10" xfId="4911" xr:uid="{00000000-0005-0000-0000-00004F210000}"/>
    <cellStyle name="Note 3 2 2 10 2" xfId="21846" xr:uid="{CCB543B1-4599-414C-981F-527950D3BCE4}"/>
    <cellStyle name="Note 3 2 2 10 3" xfId="13405" xr:uid="{8886F565-47E9-4A2B-B77B-C356EC01FADB}"/>
    <cellStyle name="Note 3 2 2 11" xfId="17628" xr:uid="{EB47DE06-6B95-4DA8-B7D9-FB40B1813182}"/>
    <cellStyle name="Note 3 2 2 12" xfId="9153" xr:uid="{1F9B7D37-2E60-4D39-9596-3C884E518BC0}"/>
    <cellStyle name="Note 3 2 2 2" xfId="556" xr:uid="{00000000-0005-0000-0000-000050210000}"/>
    <cellStyle name="Note 3 2 2 2 10" xfId="17629" xr:uid="{6A7CF83D-7741-4581-8F31-FFBBF7678BD4}"/>
    <cellStyle name="Note 3 2 2 2 11" xfId="9154" xr:uid="{5959E40F-ED77-4891-A477-4B1B63761011}"/>
    <cellStyle name="Note 3 2 2 2 2" xfId="1016" xr:uid="{00000000-0005-0000-0000-000051210000}"/>
    <cellStyle name="Note 3 2 2 2 2 2" xfId="3248" xr:uid="{00000000-0005-0000-0000-000052210000}"/>
    <cellStyle name="Note 3 2 2 2 2 2 2" xfId="7470" xr:uid="{00000000-0005-0000-0000-000053210000}"/>
    <cellStyle name="Note 3 2 2 2 2 2 2 2" xfId="24405" xr:uid="{14B3DA19-126A-45C1-AA5D-62843668BA8A}"/>
    <cellStyle name="Note 3 2 2 2 2 2 2 3" xfId="15964" xr:uid="{79FD0BE7-997A-4A17-95AA-0DEE6D44EC67}"/>
    <cellStyle name="Note 3 2 2 2 2 2 3" xfId="20187" xr:uid="{AFCCFBBD-2054-4A6A-A0EF-A23C11B3122A}"/>
    <cellStyle name="Note 3 2 2 2 2 2 4" xfId="11745" xr:uid="{01E800C6-0B58-4C1D-875F-473FF37B910F}"/>
    <cellStyle name="Note 3 2 2 2 2 3" xfId="5325" xr:uid="{00000000-0005-0000-0000-000054210000}"/>
    <cellStyle name="Note 3 2 2 2 2 3 2" xfId="22260" xr:uid="{A45540B0-DB41-4437-B454-898E94CA2F1A}"/>
    <cellStyle name="Note 3 2 2 2 2 3 3" xfId="13819" xr:uid="{6DD9EA7A-9201-4A61-95D0-A8E73F7844EC}"/>
    <cellStyle name="Note 3 2 2 2 2 4" xfId="18042" xr:uid="{C4D67A27-98DD-4FC5-AA74-1845883C771F}"/>
    <cellStyle name="Note 3 2 2 2 2 5" xfId="9568" xr:uid="{BE7BF69E-7CFA-46DE-B6F2-3D8A34F6FB81}"/>
    <cellStyle name="Note 3 2 2 2 3" xfId="1431" xr:uid="{00000000-0005-0000-0000-000055210000}"/>
    <cellStyle name="Note 3 2 2 2 3 2" xfId="3661" xr:uid="{00000000-0005-0000-0000-000056210000}"/>
    <cellStyle name="Note 3 2 2 2 3 2 2" xfId="7883" xr:uid="{00000000-0005-0000-0000-000057210000}"/>
    <cellStyle name="Note 3 2 2 2 3 2 2 2" xfId="24818" xr:uid="{0990A0DE-1168-41BC-AA7E-B759A3E5C98B}"/>
    <cellStyle name="Note 3 2 2 2 3 2 2 3" xfId="16377" xr:uid="{A8BE1E38-F9BD-492F-807E-7D149AA82A31}"/>
    <cellStyle name="Note 3 2 2 2 3 2 3" xfId="20600" xr:uid="{38CC66EE-0306-4447-8A90-AAE5E91A1171}"/>
    <cellStyle name="Note 3 2 2 2 3 2 4" xfId="12158" xr:uid="{743BE700-57BC-4634-A32D-8BACB5F42ED6}"/>
    <cellStyle name="Note 3 2 2 2 3 3" xfId="5738" xr:uid="{00000000-0005-0000-0000-000058210000}"/>
    <cellStyle name="Note 3 2 2 2 3 3 2" xfId="22673" xr:uid="{258364CB-7200-4364-B9B1-671D4DC8DA0A}"/>
    <cellStyle name="Note 3 2 2 2 3 3 3" xfId="14232" xr:uid="{C0DC625E-A859-463A-AB21-57990FA375E1}"/>
    <cellStyle name="Note 3 2 2 2 3 4" xfId="18455" xr:uid="{FF5DFBB6-4561-480D-B491-B17ECFBECB6C}"/>
    <cellStyle name="Note 3 2 2 2 3 5" xfId="9981" xr:uid="{0FBF6DA4-0072-40A1-9CB1-CF9220026E07}"/>
    <cellStyle name="Note 3 2 2 2 4" xfId="1845" xr:uid="{00000000-0005-0000-0000-000059210000}"/>
    <cellStyle name="Note 3 2 2 2 4 2" xfId="4074" xr:uid="{00000000-0005-0000-0000-00005A210000}"/>
    <cellStyle name="Note 3 2 2 2 4 2 2" xfId="8296" xr:uid="{00000000-0005-0000-0000-00005B210000}"/>
    <cellStyle name="Note 3 2 2 2 4 2 2 2" xfId="25231" xr:uid="{A380B9D2-0579-46BE-B8EE-FA90BCA98735}"/>
    <cellStyle name="Note 3 2 2 2 4 2 2 3" xfId="16790" xr:uid="{21AD26DF-C1F7-454D-BE73-3EC672B6F3FE}"/>
    <cellStyle name="Note 3 2 2 2 4 2 3" xfId="21013" xr:uid="{E9A1332F-1928-45BA-BA06-043F761A7989}"/>
    <cellStyle name="Note 3 2 2 2 4 2 4" xfId="12571" xr:uid="{8749BDBB-A264-47AD-9D6F-D53B21902532}"/>
    <cellStyle name="Note 3 2 2 2 4 3" xfId="6151" xr:uid="{00000000-0005-0000-0000-00005C210000}"/>
    <cellStyle name="Note 3 2 2 2 4 3 2" xfId="23086" xr:uid="{E7D0A9C8-3D32-42BD-A8E7-14E6BEFB86EB}"/>
    <cellStyle name="Note 3 2 2 2 4 3 3" xfId="14645" xr:uid="{767B2016-67F5-4797-A621-82BADEE0B20B}"/>
    <cellStyle name="Note 3 2 2 2 4 4" xfId="18868" xr:uid="{14EF71F8-DE25-4801-A436-11C4E9D1792C}"/>
    <cellStyle name="Note 3 2 2 2 4 5" xfId="10394" xr:uid="{13FAF0A0-A858-4869-82F1-9180187E6CB4}"/>
    <cellStyle name="Note 3 2 2 2 5" xfId="2258" xr:uid="{00000000-0005-0000-0000-00005D210000}"/>
    <cellStyle name="Note 3 2 2 2 5 2" xfId="4487" xr:uid="{00000000-0005-0000-0000-00005E210000}"/>
    <cellStyle name="Note 3 2 2 2 5 2 2" xfId="8709" xr:uid="{00000000-0005-0000-0000-00005F210000}"/>
    <cellStyle name="Note 3 2 2 2 5 2 2 2" xfId="25644" xr:uid="{C3283710-48EF-4CA3-B9B5-5A1D1CC37BDB}"/>
    <cellStyle name="Note 3 2 2 2 5 2 2 3" xfId="17203" xr:uid="{81848471-C383-496C-A20C-C790B829E872}"/>
    <cellStyle name="Note 3 2 2 2 5 2 3" xfId="21426" xr:uid="{74117DA9-151D-43FD-A016-E03EE03D4A6D}"/>
    <cellStyle name="Note 3 2 2 2 5 2 4" xfId="12984" xr:uid="{F3B67C0B-5453-466D-8454-680304A1B8A0}"/>
    <cellStyle name="Note 3 2 2 2 5 3" xfId="6564" xr:uid="{00000000-0005-0000-0000-000060210000}"/>
    <cellStyle name="Note 3 2 2 2 5 3 2" xfId="23499" xr:uid="{85D21DEB-A349-4B2C-852A-6EA5B468B019}"/>
    <cellStyle name="Note 3 2 2 2 5 3 3" xfId="15058" xr:uid="{1C278BB1-B0C3-47EC-92C9-08855EA896C2}"/>
    <cellStyle name="Note 3 2 2 2 5 4" xfId="19281" xr:uid="{786FA793-1DD6-44DD-8C9C-8F70DC0D2E0A}"/>
    <cellStyle name="Note 3 2 2 2 5 5" xfId="10807" xr:uid="{FA27430E-38A9-47B0-9F7B-7C841031801C}"/>
    <cellStyle name="Note 3 2 2 2 6" xfId="2694" xr:uid="{00000000-0005-0000-0000-000061210000}"/>
    <cellStyle name="Note 3 2 2 2 6 2" xfId="6977" xr:uid="{00000000-0005-0000-0000-000062210000}"/>
    <cellStyle name="Note 3 2 2 2 6 2 2" xfId="23912" xr:uid="{3AA4C218-D4BA-4F67-8FDB-B32FCBFF28D4}"/>
    <cellStyle name="Note 3 2 2 2 6 2 3" xfId="15471" xr:uid="{F51B5360-222A-485C-8AA2-1A1934C104D4}"/>
    <cellStyle name="Note 3 2 2 2 6 3" xfId="19694" xr:uid="{484815B6-6A1A-4816-92A7-C0A567EBC54B}"/>
    <cellStyle name="Note 3 2 2 2 6 4" xfId="11242" xr:uid="{A55F352B-76D4-4B1E-9C65-DB0E0F06DCA8}"/>
    <cellStyle name="Note 3 2 2 2 7" xfId="2753" xr:uid="{00000000-0005-0000-0000-000063210000}"/>
    <cellStyle name="Note 3 2 2 2 8" xfId="2834" xr:uid="{00000000-0005-0000-0000-000064210000}"/>
    <cellStyle name="Note 3 2 2 2 8 2" xfId="7057" xr:uid="{00000000-0005-0000-0000-000065210000}"/>
    <cellStyle name="Note 3 2 2 2 8 2 2" xfId="23992" xr:uid="{C30CFAAA-766F-4706-8069-AF387057EF8C}"/>
    <cellStyle name="Note 3 2 2 2 8 2 3" xfId="15551" xr:uid="{C355F1D7-E269-4BA8-8FFD-662F0FD6F80C}"/>
    <cellStyle name="Note 3 2 2 2 8 3" xfId="19774" xr:uid="{D7DEAB0D-9AD2-4247-8FC7-5DAD50CDF777}"/>
    <cellStyle name="Note 3 2 2 2 8 4" xfId="11332" xr:uid="{9E04E37F-B2A6-46CD-969E-C0070FCF682E}"/>
    <cellStyle name="Note 3 2 2 2 9" xfId="4912" xr:uid="{00000000-0005-0000-0000-000066210000}"/>
    <cellStyle name="Note 3 2 2 2 9 2" xfId="21847" xr:uid="{13768C62-DC34-4870-9747-F69697FF67BC}"/>
    <cellStyle name="Note 3 2 2 2 9 3" xfId="13406" xr:uid="{5B37B938-31DD-4FA8-8587-73143698F319}"/>
    <cellStyle name="Note 3 2 2 3" xfId="1015" xr:uid="{00000000-0005-0000-0000-000067210000}"/>
    <cellStyle name="Note 3 2 2 3 2" xfId="3247" xr:uid="{00000000-0005-0000-0000-000068210000}"/>
    <cellStyle name="Note 3 2 2 3 2 2" xfId="7469" xr:uid="{00000000-0005-0000-0000-000069210000}"/>
    <cellStyle name="Note 3 2 2 3 2 2 2" xfId="24404" xr:uid="{2B62EE27-4703-4635-9C17-CC2A5CA56305}"/>
    <cellStyle name="Note 3 2 2 3 2 2 3" xfId="15963" xr:uid="{AC54313A-DAE6-420C-A1CD-8A3B2282C9D3}"/>
    <cellStyle name="Note 3 2 2 3 2 3" xfId="20186" xr:uid="{C11502E8-B65A-4100-BA23-D9A9D7512D22}"/>
    <cellStyle name="Note 3 2 2 3 2 4" xfId="11744" xr:uid="{F7686E2A-AC6C-48D3-93C2-3E7228B62AF6}"/>
    <cellStyle name="Note 3 2 2 3 3" xfId="5324" xr:uid="{00000000-0005-0000-0000-00006A210000}"/>
    <cellStyle name="Note 3 2 2 3 3 2" xfId="22259" xr:uid="{54CB64FC-14CD-40E5-8466-A93B918A3C66}"/>
    <cellStyle name="Note 3 2 2 3 3 3" xfId="13818" xr:uid="{0E2FBAA2-FE98-4582-9F78-7CC6AF7C317D}"/>
    <cellStyle name="Note 3 2 2 3 4" xfId="18041" xr:uid="{49D073DD-F631-4B5A-A47C-6D0C1C6EC28F}"/>
    <cellStyle name="Note 3 2 2 3 5" xfId="9567" xr:uid="{F6B30DC6-7D5F-41E1-AE28-E50830FA2CE6}"/>
    <cellStyle name="Note 3 2 2 4" xfId="1430" xr:uid="{00000000-0005-0000-0000-00006B210000}"/>
    <cellStyle name="Note 3 2 2 4 2" xfId="3660" xr:uid="{00000000-0005-0000-0000-00006C210000}"/>
    <cellStyle name="Note 3 2 2 4 2 2" xfId="7882" xr:uid="{00000000-0005-0000-0000-00006D210000}"/>
    <cellStyle name="Note 3 2 2 4 2 2 2" xfId="24817" xr:uid="{5D4FF3E8-F988-4A1B-B525-740D28C22F9C}"/>
    <cellStyle name="Note 3 2 2 4 2 2 3" xfId="16376" xr:uid="{C419FC75-5883-4255-BF18-CDB90B22BE6C}"/>
    <cellStyle name="Note 3 2 2 4 2 3" xfId="20599" xr:uid="{EED35446-8175-4BE5-8B79-132B79142CF4}"/>
    <cellStyle name="Note 3 2 2 4 2 4" xfId="12157" xr:uid="{3DB7D06A-2BD0-497B-9F23-ADCBE1B07C4F}"/>
    <cellStyle name="Note 3 2 2 4 3" xfId="5737" xr:uid="{00000000-0005-0000-0000-00006E210000}"/>
    <cellStyle name="Note 3 2 2 4 3 2" xfId="22672" xr:uid="{373AC072-5B00-4897-BCE1-1DC59097B663}"/>
    <cellStyle name="Note 3 2 2 4 3 3" xfId="14231" xr:uid="{2FCBD908-DF95-4685-8C21-3555975031ED}"/>
    <cellStyle name="Note 3 2 2 4 4" xfId="18454" xr:uid="{3899832E-67D9-4F0D-A2A1-871D3862D2E9}"/>
    <cellStyle name="Note 3 2 2 4 5" xfId="9980" xr:uid="{4348404E-548F-462A-839A-5ED124F2998E}"/>
    <cellStyle name="Note 3 2 2 5" xfId="1844" xr:uid="{00000000-0005-0000-0000-00006F210000}"/>
    <cellStyle name="Note 3 2 2 5 2" xfId="4073" xr:uid="{00000000-0005-0000-0000-000070210000}"/>
    <cellStyle name="Note 3 2 2 5 2 2" xfId="8295" xr:uid="{00000000-0005-0000-0000-000071210000}"/>
    <cellStyle name="Note 3 2 2 5 2 2 2" xfId="25230" xr:uid="{8ECAF7A8-B5CB-4E82-95ED-40943ACBEDE6}"/>
    <cellStyle name="Note 3 2 2 5 2 2 3" xfId="16789" xr:uid="{56798BC1-6653-49ED-8FFB-BAD388FF1BB6}"/>
    <cellStyle name="Note 3 2 2 5 2 3" xfId="21012" xr:uid="{59B8B047-A5EF-48D1-8A8A-4EDD2D154D33}"/>
    <cellStyle name="Note 3 2 2 5 2 4" xfId="12570" xr:uid="{E6308169-46A5-4172-B4EF-1EF2A7D5590D}"/>
    <cellStyle name="Note 3 2 2 5 3" xfId="6150" xr:uid="{00000000-0005-0000-0000-000072210000}"/>
    <cellStyle name="Note 3 2 2 5 3 2" xfId="23085" xr:uid="{D67B40B9-EF3B-4AFF-BF8E-2C8DB21BE128}"/>
    <cellStyle name="Note 3 2 2 5 3 3" xfId="14644" xr:uid="{49486E6C-693B-4769-9423-53063D293299}"/>
    <cellStyle name="Note 3 2 2 5 4" xfId="18867" xr:uid="{F4040EC0-E2A6-48BF-9B15-63B7BD386271}"/>
    <cellStyle name="Note 3 2 2 5 5" xfId="10393" xr:uid="{EEAF4A66-029C-4C3A-BC41-FF3D2848EFC8}"/>
    <cellStyle name="Note 3 2 2 6" xfId="2257" xr:uid="{00000000-0005-0000-0000-000073210000}"/>
    <cellStyle name="Note 3 2 2 6 2" xfId="4486" xr:uid="{00000000-0005-0000-0000-000074210000}"/>
    <cellStyle name="Note 3 2 2 6 2 2" xfId="8708" xr:uid="{00000000-0005-0000-0000-000075210000}"/>
    <cellStyle name="Note 3 2 2 6 2 2 2" xfId="25643" xr:uid="{D14EC766-F35B-47F8-BFB0-73CC5503EE0A}"/>
    <cellStyle name="Note 3 2 2 6 2 2 3" xfId="17202" xr:uid="{1532BCCB-6CAC-46DE-A42D-54B29AA14957}"/>
    <cellStyle name="Note 3 2 2 6 2 3" xfId="21425" xr:uid="{F396265B-1A61-4491-BDDA-7D1F9274D533}"/>
    <cellStyle name="Note 3 2 2 6 2 4" xfId="12983" xr:uid="{273BF829-1273-48D8-AA1B-867FEE72D208}"/>
    <cellStyle name="Note 3 2 2 6 3" xfId="6563" xr:uid="{00000000-0005-0000-0000-000076210000}"/>
    <cellStyle name="Note 3 2 2 6 3 2" xfId="23498" xr:uid="{4AB452E4-2C2F-4FBB-A4EC-461F18DFC0BE}"/>
    <cellStyle name="Note 3 2 2 6 3 3" xfId="15057" xr:uid="{7F186FD3-9EE1-4C0E-BE1F-21F1D01AA3F9}"/>
    <cellStyle name="Note 3 2 2 6 4" xfId="19280" xr:uid="{4FD9D37C-CEEB-4751-930C-5EBD6ADA04B0}"/>
    <cellStyle name="Note 3 2 2 6 5" xfId="10806" xr:uid="{D692D2C2-6680-45C0-91D9-0AE628EF1199}"/>
    <cellStyle name="Note 3 2 2 7" xfId="2693" xr:uid="{00000000-0005-0000-0000-000077210000}"/>
    <cellStyle name="Note 3 2 2 7 2" xfId="6976" xr:uid="{00000000-0005-0000-0000-000078210000}"/>
    <cellStyle name="Note 3 2 2 7 2 2" xfId="23911" xr:uid="{A74EFDD8-8B2E-4298-8AA4-996D123B7819}"/>
    <cellStyle name="Note 3 2 2 7 2 3" xfId="15470" xr:uid="{BC232CAD-A0AA-4972-A376-ADCFD2BE97A6}"/>
    <cellStyle name="Note 3 2 2 7 3" xfId="19693" xr:uid="{7DDFE8DB-F8A4-4E64-97F1-92570ED17E45}"/>
    <cellStyle name="Note 3 2 2 7 4" xfId="11241" xr:uid="{1281A91F-3C40-4605-B62B-1F06369CA68E}"/>
    <cellStyle name="Note 3 2 2 8" xfId="2752" xr:uid="{00000000-0005-0000-0000-000079210000}"/>
    <cellStyle name="Note 3 2 2 9" xfId="2833" xr:uid="{00000000-0005-0000-0000-00007A210000}"/>
    <cellStyle name="Note 3 2 2 9 2" xfId="7056" xr:uid="{00000000-0005-0000-0000-00007B210000}"/>
    <cellStyle name="Note 3 2 2 9 2 2" xfId="23991" xr:uid="{4970E223-2BF9-4B73-942A-C0BB28E67A61}"/>
    <cellStyle name="Note 3 2 2 9 2 3" xfId="15550" xr:uid="{5597273C-75A6-4F8C-8F64-979462B54EC3}"/>
    <cellStyle name="Note 3 2 2 9 3" xfId="19773" xr:uid="{5EEDA839-9A80-4CF5-A2D0-DB477F95EF5D}"/>
    <cellStyle name="Note 3 2 2 9 4" xfId="11331" xr:uid="{8FB72698-AAB2-46F9-8460-F29380E113D9}"/>
    <cellStyle name="Note 3 2 3" xfId="557" xr:uid="{00000000-0005-0000-0000-00007C210000}"/>
    <cellStyle name="Note 3 2 3 10" xfId="17630" xr:uid="{25F83B33-E617-4A4B-A7B0-B00D8C150789}"/>
    <cellStyle name="Note 3 2 3 11" xfId="9155" xr:uid="{8BECEF83-DCA5-43DF-A7CB-294C639D46FE}"/>
    <cellStyle name="Note 3 2 3 2" xfId="1017" xr:uid="{00000000-0005-0000-0000-00007D210000}"/>
    <cellStyle name="Note 3 2 3 2 2" xfId="3249" xr:uid="{00000000-0005-0000-0000-00007E210000}"/>
    <cellStyle name="Note 3 2 3 2 2 2" xfId="7471" xr:uid="{00000000-0005-0000-0000-00007F210000}"/>
    <cellStyle name="Note 3 2 3 2 2 2 2" xfId="24406" xr:uid="{8D898AC4-4845-4451-B404-DFDA45FC1FCA}"/>
    <cellStyle name="Note 3 2 3 2 2 2 3" xfId="15965" xr:uid="{472B8467-C5E3-4B74-BB5E-1144FD33E0DD}"/>
    <cellStyle name="Note 3 2 3 2 2 3" xfId="20188" xr:uid="{53BC004E-26EF-46AB-8035-FD91FEA04D12}"/>
    <cellStyle name="Note 3 2 3 2 2 4" xfId="11746" xr:uid="{3575E835-648D-4AB3-A164-37AE3135BFE6}"/>
    <cellStyle name="Note 3 2 3 2 3" xfId="5326" xr:uid="{00000000-0005-0000-0000-000080210000}"/>
    <cellStyle name="Note 3 2 3 2 3 2" xfId="22261" xr:uid="{292F3C40-81E2-4EFE-895D-D4F260009730}"/>
    <cellStyle name="Note 3 2 3 2 3 3" xfId="13820" xr:uid="{ABFFC8BA-AF53-4208-B90E-1F35BCD4C762}"/>
    <cellStyle name="Note 3 2 3 2 4" xfId="18043" xr:uid="{553226ED-8339-4FE2-AE3A-ED706AECD4B5}"/>
    <cellStyle name="Note 3 2 3 2 5" xfId="9569" xr:uid="{AAE8FC7F-471D-493D-B0AB-1429A3C1048F}"/>
    <cellStyle name="Note 3 2 3 3" xfId="1432" xr:uid="{00000000-0005-0000-0000-000081210000}"/>
    <cellStyle name="Note 3 2 3 3 2" xfId="3662" xr:uid="{00000000-0005-0000-0000-000082210000}"/>
    <cellStyle name="Note 3 2 3 3 2 2" xfId="7884" xr:uid="{00000000-0005-0000-0000-000083210000}"/>
    <cellStyle name="Note 3 2 3 3 2 2 2" xfId="24819" xr:uid="{34822AFD-BD24-4AB6-9CB7-6BAEF6083F8D}"/>
    <cellStyle name="Note 3 2 3 3 2 2 3" xfId="16378" xr:uid="{9776CD79-66EC-4F8F-B68D-B6D5EC1A56B5}"/>
    <cellStyle name="Note 3 2 3 3 2 3" xfId="20601" xr:uid="{261A4232-86CA-4BB7-B9CC-14AA8BB2E69B}"/>
    <cellStyle name="Note 3 2 3 3 2 4" xfId="12159" xr:uid="{574E13BA-2A1A-4D9D-A55B-27AB1D2E60E9}"/>
    <cellStyle name="Note 3 2 3 3 3" xfId="5739" xr:uid="{00000000-0005-0000-0000-000084210000}"/>
    <cellStyle name="Note 3 2 3 3 3 2" xfId="22674" xr:uid="{9ED9E9E6-7050-48EB-B053-945BBF87AB0D}"/>
    <cellStyle name="Note 3 2 3 3 3 3" xfId="14233" xr:uid="{7D404028-F877-4954-AB43-3468CE9C23C4}"/>
    <cellStyle name="Note 3 2 3 3 4" xfId="18456" xr:uid="{B29DE96B-7B93-4A4C-9B71-68F92D424781}"/>
    <cellStyle name="Note 3 2 3 3 5" xfId="9982" xr:uid="{B193E845-971A-41DC-97A4-0D38F4636632}"/>
    <cellStyle name="Note 3 2 3 4" xfId="1846" xr:uid="{00000000-0005-0000-0000-000085210000}"/>
    <cellStyle name="Note 3 2 3 4 2" xfId="4075" xr:uid="{00000000-0005-0000-0000-000086210000}"/>
    <cellStyle name="Note 3 2 3 4 2 2" xfId="8297" xr:uid="{00000000-0005-0000-0000-000087210000}"/>
    <cellStyle name="Note 3 2 3 4 2 2 2" xfId="25232" xr:uid="{5BF2FBDA-02A0-4927-89A1-DE28556DA716}"/>
    <cellStyle name="Note 3 2 3 4 2 2 3" xfId="16791" xr:uid="{F19E8284-656B-4AD8-8F2A-3FA947FA641F}"/>
    <cellStyle name="Note 3 2 3 4 2 3" xfId="21014" xr:uid="{9FC5A9CF-E259-4AAC-A4FD-E3E56E755AD3}"/>
    <cellStyle name="Note 3 2 3 4 2 4" xfId="12572" xr:uid="{0D36F95A-1694-4BB4-8B23-CBF35BFFE4E7}"/>
    <cellStyle name="Note 3 2 3 4 3" xfId="6152" xr:uid="{00000000-0005-0000-0000-000088210000}"/>
    <cellStyle name="Note 3 2 3 4 3 2" xfId="23087" xr:uid="{F530264F-E530-4066-AA99-26384908BB79}"/>
    <cellStyle name="Note 3 2 3 4 3 3" xfId="14646" xr:uid="{72E305B8-0C71-410F-AA3C-7D625129BAB8}"/>
    <cellStyle name="Note 3 2 3 4 4" xfId="18869" xr:uid="{CCBB9FAC-0397-487B-8A82-1CFA80896702}"/>
    <cellStyle name="Note 3 2 3 4 5" xfId="10395" xr:uid="{2649089E-7C44-4289-99DA-089EF7388C42}"/>
    <cellStyle name="Note 3 2 3 5" xfId="2259" xr:uid="{00000000-0005-0000-0000-000089210000}"/>
    <cellStyle name="Note 3 2 3 5 2" xfId="4488" xr:uid="{00000000-0005-0000-0000-00008A210000}"/>
    <cellStyle name="Note 3 2 3 5 2 2" xfId="8710" xr:uid="{00000000-0005-0000-0000-00008B210000}"/>
    <cellStyle name="Note 3 2 3 5 2 2 2" xfId="25645" xr:uid="{D1FA7E98-0815-45D1-8611-31060638459F}"/>
    <cellStyle name="Note 3 2 3 5 2 2 3" xfId="17204" xr:uid="{0410CEAA-6E66-4DD8-9C84-E4E23ADE9B0E}"/>
    <cellStyle name="Note 3 2 3 5 2 3" xfId="21427" xr:uid="{93C65F8C-36F1-4FA4-880D-12217EF3F249}"/>
    <cellStyle name="Note 3 2 3 5 2 4" xfId="12985" xr:uid="{C437C7F3-4FEF-4C12-B879-6E70E0916C8E}"/>
    <cellStyle name="Note 3 2 3 5 3" xfId="6565" xr:uid="{00000000-0005-0000-0000-00008C210000}"/>
    <cellStyle name="Note 3 2 3 5 3 2" xfId="23500" xr:uid="{EEACD372-714A-4065-96DF-1CA5165253FC}"/>
    <cellStyle name="Note 3 2 3 5 3 3" xfId="15059" xr:uid="{BE195D99-2473-4A3A-9EE3-1C6B94E1B921}"/>
    <cellStyle name="Note 3 2 3 5 4" xfId="19282" xr:uid="{AFBA788F-DEFD-4213-8D8A-327AE3ED09A9}"/>
    <cellStyle name="Note 3 2 3 5 5" xfId="10808" xr:uid="{B67FFD7E-EFA3-46A0-8C0E-C01A6DF44ED4}"/>
    <cellStyle name="Note 3 2 3 6" xfId="2695" xr:uid="{00000000-0005-0000-0000-00008D210000}"/>
    <cellStyle name="Note 3 2 3 6 2" xfId="6978" xr:uid="{00000000-0005-0000-0000-00008E210000}"/>
    <cellStyle name="Note 3 2 3 6 2 2" xfId="23913" xr:uid="{07FF1879-E488-422C-9683-B25018FD4AF5}"/>
    <cellStyle name="Note 3 2 3 6 2 3" xfId="15472" xr:uid="{A5F88F59-5F52-4991-9203-79DF6D907E8D}"/>
    <cellStyle name="Note 3 2 3 6 3" xfId="19695" xr:uid="{5F19AD95-26A9-4AFD-8D40-3B6D8D7A6AE0}"/>
    <cellStyle name="Note 3 2 3 6 4" xfId="11243" xr:uid="{5A856B5F-2423-428F-9485-B131237A2F54}"/>
    <cellStyle name="Note 3 2 3 7" xfId="2754" xr:uid="{00000000-0005-0000-0000-00008F210000}"/>
    <cellStyle name="Note 3 2 3 8" xfId="2835" xr:uid="{00000000-0005-0000-0000-000090210000}"/>
    <cellStyle name="Note 3 2 3 8 2" xfId="7058" xr:uid="{00000000-0005-0000-0000-000091210000}"/>
    <cellStyle name="Note 3 2 3 8 2 2" xfId="23993" xr:uid="{7E7D60DD-46FC-496B-AD12-8DF703D44A34}"/>
    <cellStyle name="Note 3 2 3 8 2 3" xfId="15552" xr:uid="{7790663A-E6BF-40F7-AEC6-DFE36ABDC1E2}"/>
    <cellStyle name="Note 3 2 3 8 3" xfId="19775" xr:uid="{9132E68E-1CF4-4DE6-9B2C-5D72A7E23073}"/>
    <cellStyle name="Note 3 2 3 8 4" xfId="11333" xr:uid="{DE9ACB5A-14E5-4505-8ACF-C11FA7DEE7E9}"/>
    <cellStyle name="Note 3 2 3 9" xfId="4913" xr:uid="{00000000-0005-0000-0000-000092210000}"/>
    <cellStyle name="Note 3 2 3 9 2" xfId="21848" xr:uid="{EF228499-D379-42A6-99B7-FE09AC639E04}"/>
    <cellStyle name="Note 3 2 3 9 3" xfId="13407" xr:uid="{56A7ECBF-0C2D-457F-BADE-2D5CD17C546B}"/>
    <cellStyle name="Note 3 2 4" xfId="1014" xr:uid="{00000000-0005-0000-0000-000093210000}"/>
    <cellStyle name="Note 3 2 4 2" xfId="3246" xr:uid="{00000000-0005-0000-0000-000094210000}"/>
    <cellStyle name="Note 3 2 4 2 2" xfId="7468" xr:uid="{00000000-0005-0000-0000-000095210000}"/>
    <cellStyle name="Note 3 2 4 2 2 2" xfId="24403" xr:uid="{1B330887-3AEA-4F3E-BE6E-C5DE761609D9}"/>
    <cellStyle name="Note 3 2 4 2 2 3" xfId="15962" xr:uid="{24E308FB-E71F-4E57-A2CD-13621089C461}"/>
    <cellStyle name="Note 3 2 4 2 3" xfId="20185" xr:uid="{8EF182DE-5172-4789-8DB9-079F6BFB2D00}"/>
    <cellStyle name="Note 3 2 4 2 4" xfId="11743" xr:uid="{BACE32CB-E9F1-4FD6-B38E-BB408A1A3C1D}"/>
    <cellStyle name="Note 3 2 4 3" xfId="5323" xr:uid="{00000000-0005-0000-0000-000096210000}"/>
    <cellStyle name="Note 3 2 4 3 2" xfId="22258" xr:uid="{E5A992FC-8FFD-48F4-B866-37785C6F38EB}"/>
    <cellStyle name="Note 3 2 4 3 3" xfId="13817" xr:uid="{A0E15F33-8C52-4241-81AB-63BB3EEA5449}"/>
    <cellStyle name="Note 3 2 4 4" xfId="18040" xr:uid="{19D72BF8-BFB7-493D-AB75-40265F020591}"/>
    <cellStyle name="Note 3 2 4 5" xfId="9566" xr:uid="{E7466DD9-C31C-4AB5-A21C-620720F1BB10}"/>
    <cellStyle name="Note 3 2 5" xfId="1429" xr:uid="{00000000-0005-0000-0000-000097210000}"/>
    <cellStyle name="Note 3 2 5 2" xfId="3659" xr:uid="{00000000-0005-0000-0000-000098210000}"/>
    <cellStyle name="Note 3 2 5 2 2" xfId="7881" xr:uid="{00000000-0005-0000-0000-000099210000}"/>
    <cellStyle name="Note 3 2 5 2 2 2" xfId="24816" xr:uid="{0E132DB0-3806-4D98-95D2-6578BFD46264}"/>
    <cellStyle name="Note 3 2 5 2 2 3" xfId="16375" xr:uid="{6A65A9BF-81C2-42E7-B29F-0A532D1629FC}"/>
    <cellStyle name="Note 3 2 5 2 3" xfId="20598" xr:uid="{F78A0C27-A141-4D34-9FAC-21BB14457DBF}"/>
    <cellStyle name="Note 3 2 5 2 4" xfId="12156" xr:uid="{F85984A7-8CFF-4EE3-96CC-308E020AA55E}"/>
    <cellStyle name="Note 3 2 5 3" xfId="5736" xr:uid="{00000000-0005-0000-0000-00009A210000}"/>
    <cellStyle name="Note 3 2 5 3 2" xfId="22671" xr:uid="{15864760-3A55-43DB-A89A-D570F6C65145}"/>
    <cellStyle name="Note 3 2 5 3 3" xfId="14230" xr:uid="{B062790B-D54B-46E6-B83C-25D8A567BC07}"/>
    <cellStyle name="Note 3 2 5 4" xfId="18453" xr:uid="{8400B440-6AC9-42E8-B29F-558DC474E317}"/>
    <cellStyle name="Note 3 2 5 5" xfId="9979" xr:uid="{92A35B55-E939-4593-9C4B-3EC9F71C6027}"/>
    <cellStyle name="Note 3 2 6" xfId="1843" xr:uid="{00000000-0005-0000-0000-00009B210000}"/>
    <cellStyle name="Note 3 2 6 2" xfId="4072" xr:uid="{00000000-0005-0000-0000-00009C210000}"/>
    <cellStyle name="Note 3 2 6 2 2" xfId="8294" xr:uid="{00000000-0005-0000-0000-00009D210000}"/>
    <cellStyle name="Note 3 2 6 2 2 2" xfId="25229" xr:uid="{D0F66C69-EB75-4C08-A6C9-C787028151F4}"/>
    <cellStyle name="Note 3 2 6 2 2 3" xfId="16788" xr:uid="{C2A94EC9-7075-47F5-B78C-2FB3499F7C47}"/>
    <cellStyle name="Note 3 2 6 2 3" xfId="21011" xr:uid="{1641F2C7-3CEE-409E-9E73-7B26DBD8BC8C}"/>
    <cellStyle name="Note 3 2 6 2 4" xfId="12569" xr:uid="{82A9052E-0175-4079-BE97-A527E877C08F}"/>
    <cellStyle name="Note 3 2 6 3" xfId="6149" xr:uid="{00000000-0005-0000-0000-00009E210000}"/>
    <cellStyle name="Note 3 2 6 3 2" xfId="23084" xr:uid="{0015E09B-26D6-45D5-8E2E-E6676745E825}"/>
    <cellStyle name="Note 3 2 6 3 3" xfId="14643" xr:uid="{24D60D37-29B0-4828-89CC-4B73F53E6A90}"/>
    <cellStyle name="Note 3 2 6 4" xfId="18866" xr:uid="{2C4CA0C1-F337-44C4-8F1C-9140404D0226}"/>
    <cellStyle name="Note 3 2 6 5" xfId="10392" xr:uid="{93B54A59-179C-4358-A9AD-574CED130E79}"/>
    <cellStyle name="Note 3 2 7" xfId="2256" xr:uid="{00000000-0005-0000-0000-00009F210000}"/>
    <cellStyle name="Note 3 2 7 2" xfId="4485" xr:uid="{00000000-0005-0000-0000-0000A0210000}"/>
    <cellStyle name="Note 3 2 7 2 2" xfId="8707" xr:uid="{00000000-0005-0000-0000-0000A1210000}"/>
    <cellStyle name="Note 3 2 7 2 2 2" xfId="25642" xr:uid="{3EBC1901-5452-4D2F-8F26-2A6DBCFD49B7}"/>
    <cellStyle name="Note 3 2 7 2 2 3" xfId="17201" xr:uid="{05DBF80B-DD1C-42E5-9B97-85F0FEBB9691}"/>
    <cellStyle name="Note 3 2 7 2 3" xfId="21424" xr:uid="{9162BF9B-0DE3-4EAE-AB57-1175FB12B3ED}"/>
    <cellStyle name="Note 3 2 7 2 4" xfId="12982" xr:uid="{A330E22B-C0DE-4898-B394-ABD562F286F0}"/>
    <cellStyle name="Note 3 2 7 3" xfId="6562" xr:uid="{00000000-0005-0000-0000-0000A2210000}"/>
    <cellStyle name="Note 3 2 7 3 2" xfId="23497" xr:uid="{55062355-D0C2-4F4E-AB68-A5FEE3A6A36F}"/>
    <cellStyle name="Note 3 2 7 3 3" xfId="15056" xr:uid="{98A7D027-A9D7-4A8F-9C65-3F93067D6454}"/>
    <cellStyle name="Note 3 2 7 4" xfId="19279" xr:uid="{111E9026-11E0-47A1-804A-43CA773E892D}"/>
    <cellStyle name="Note 3 2 7 5" xfId="10805" xr:uid="{9EBE467E-E8A4-40B0-9F77-1E1FF4FB48DF}"/>
    <cellStyle name="Note 3 2 8" xfId="2692" xr:uid="{00000000-0005-0000-0000-0000A3210000}"/>
    <cellStyle name="Note 3 2 8 2" xfId="6975" xr:uid="{00000000-0005-0000-0000-0000A4210000}"/>
    <cellStyle name="Note 3 2 8 2 2" xfId="23910" xr:uid="{4915B3CC-2D46-429B-850C-7E8340CD2416}"/>
    <cellStyle name="Note 3 2 8 2 3" xfId="15469" xr:uid="{BEAE8F67-D687-4222-BB9F-340C1171502E}"/>
    <cellStyle name="Note 3 2 8 3" xfId="19692" xr:uid="{1DB19B87-3498-41BB-A618-CB4B04F27CC8}"/>
    <cellStyle name="Note 3 2 8 4" xfId="11240" xr:uid="{89187759-1D0B-4EF6-8059-677785D8C3B1}"/>
    <cellStyle name="Note 3 2 9" xfId="2751" xr:uid="{00000000-0005-0000-0000-0000A5210000}"/>
    <cellStyle name="Note 3 3" xfId="558" xr:uid="{00000000-0005-0000-0000-0000A6210000}"/>
    <cellStyle name="Note 3 3 10" xfId="4914" xr:uid="{00000000-0005-0000-0000-0000A7210000}"/>
    <cellStyle name="Note 3 3 10 2" xfId="21849" xr:uid="{D27210DE-8C28-479F-B31C-0DFA56BD4CE7}"/>
    <cellStyle name="Note 3 3 10 3" xfId="13408" xr:uid="{8B808D71-C56F-40B9-A6A4-D173CB7D058C}"/>
    <cellStyle name="Note 3 3 11" xfId="17631" xr:uid="{99D1C45D-CC5E-4F85-B3C3-7763F856AA20}"/>
    <cellStyle name="Note 3 3 12" xfId="9156" xr:uid="{557F7AC9-96A1-4112-9E8F-E02828E851D9}"/>
    <cellStyle name="Note 3 3 2" xfId="559" xr:uid="{00000000-0005-0000-0000-0000A8210000}"/>
    <cellStyle name="Note 3 3 2 10" xfId="17632" xr:uid="{037C563A-3A09-44FB-883B-E11D769E459E}"/>
    <cellStyle name="Note 3 3 2 11" xfId="9157" xr:uid="{A3645849-F3E3-4A00-9C5B-CE5F78D30847}"/>
    <cellStyle name="Note 3 3 2 2" xfId="1019" xr:uid="{00000000-0005-0000-0000-0000A9210000}"/>
    <cellStyle name="Note 3 3 2 2 2" xfId="3251" xr:uid="{00000000-0005-0000-0000-0000AA210000}"/>
    <cellStyle name="Note 3 3 2 2 2 2" xfId="7473" xr:uid="{00000000-0005-0000-0000-0000AB210000}"/>
    <cellStyle name="Note 3 3 2 2 2 2 2" xfId="24408" xr:uid="{80238AC2-25E3-4BBD-8005-826AFA139D97}"/>
    <cellStyle name="Note 3 3 2 2 2 2 3" xfId="15967" xr:uid="{CE060079-5501-440B-9A6C-A5C5CBDB0EA3}"/>
    <cellStyle name="Note 3 3 2 2 2 3" xfId="20190" xr:uid="{43E8033C-D7EC-482E-847C-11AEC6E2A186}"/>
    <cellStyle name="Note 3 3 2 2 2 4" xfId="11748" xr:uid="{B59AA98B-6B53-4F75-A5CB-A50B24149FE6}"/>
    <cellStyle name="Note 3 3 2 2 3" xfId="5328" xr:uid="{00000000-0005-0000-0000-0000AC210000}"/>
    <cellStyle name="Note 3 3 2 2 3 2" xfId="22263" xr:uid="{60206304-B0F6-4560-A9E1-15D171C15CB8}"/>
    <cellStyle name="Note 3 3 2 2 3 3" xfId="13822" xr:uid="{5519D178-8DE0-4B65-8A10-4A960115CF56}"/>
    <cellStyle name="Note 3 3 2 2 4" xfId="18045" xr:uid="{813C428A-5327-410F-9F53-C00795A98318}"/>
    <cellStyle name="Note 3 3 2 2 5" xfId="9571" xr:uid="{9CE1F993-B96A-4320-BCF2-B9759A2D1E70}"/>
    <cellStyle name="Note 3 3 2 3" xfId="1434" xr:uid="{00000000-0005-0000-0000-0000AD210000}"/>
    <cellStyle name="Note 3 3 2 3 2" xfId="3664" xr:uid="{00000000-0005-0000-0000-0000AE210000}"/>
    <cellStyle name="Note 3 3 2 3 2 2" xfId="7886" xr:uid="{00000000-0005-0000-0000-0000AF210000}"/>
    <cellStyle name="Note 3 3 2 3 2 2 2" xfId="24821" xr:uid="{933114EE-69FE-4437-B528-A0142E85C7F8}"/>
    <cellStyle name="Note 3 3 2 3 2 2 3" xfId="16380" xr:uid="{008DC016-E5E5-4A52-B20F-F17E4F143CB9}"/>
    <cellStyle name="Note 3 3 2 3 2 3" xfId="20603" xr:uid="{9BDEA3CF-AC22-44A1-9CA2-1B1E9A2977CB}"/>
    <cellStyle name="Note 3 3 2 3 2 4" xfId="12161" xr:uid="{212D11EE-D2BE-4D9A-9001-22593CF303B1}"/>
    <cellStyle name="Note 3 3 2 3 3" xfId="5741" xr:uid="{00000000-0005-0000-0000-0000B0210000}"/>
    <cellStyle name="Note 3 3 2 3 3 2" xfId="22676" xr:uid="{76825234-2124-4B3F-8E61-C0C847E8A540}"/>
    <cellStyle name="Note 3 3 2 3 3 3" xfId="14235" xr:uid="{CE610952-E217-4229-9738-CE29FBF39E96}"/>
    <cellStyle name="Note 3 3 2 3 4" xfId="18458" xr:uid="{421364D8-881B-45B9-91A1-139110084AC3}"/>
    <cellStyle name="Note 3 3 2 3 5" xfId="9984" xr:uid="{CA9DAA0F-104E-4E5E-A6E0-B631809A7893}"/>
    <cellStyle name="Note 3 3 2 4" xfId="1848" xr:uid="{00000000-0005-0000-0000-0000B1210000}"/>
    <cellStyle name="Note 3 3 2 4 2" xfId="4077" xr:uid="{00000000-0005-0000-0000-0000B2210000}"/>
    <cellStyle name="Note 3 3 2 4 2 2" xfId="8299" xr:uid="{00000000-0005-0000-0000-0000B3210000}"/>
    <cellStyle name="Note 3 3 2 4 2 2 2" xfId="25234" xr:uid="{7BBBD5B7-DC8D-4AE1-AFCF-5E293C0B3E89}"/>
    <cellStyle name="Note 3 3 2 4 2 2 3" xfId="16793" xr:uid="{8BE83A9E-052C-44B1-A8B7-123B4DC41232}"/>
    <cellStyle name="Note 3 3 2 4 2 3" xfId="21016" xr:uid="{318CF9F0-4785-46F9-99F2-9B467355367A}"/>
    <cellStyle name="Note 3 3 2 4 2 4" xfId="12574" xr:uid="{86646A2C-E0F3-42BA-923F-BEC0B68D9DF7}"/>
    <cellStyle name="Note 3 3 2 4 3" xfId="6154" xr:uid="{00000000-0005-0000-0000-0000B4210000}"/>
    <cellStyle name="Note 3 3 2 4 3 2" xfId="23089" xr:uid="{89063694-E89F-45B8-8451-1D84F4CF7F3C}"/>
    <cellStyle name="Note 3 3 2 4 3 3" xfId="14648" xr:uid="{3F240650-E508-42E2-ADDA-983DA82AD7A4}"/>
    <cellStyle name="Note 3 3 2 4 4" xfId="18871" xr:uid="{896B777E-106C-44B3-89FA-7CA60ADEA343}"/>
    <cellStyle name="Note 3 3 2 4 5" xfId="10397" xr:uid="{EBCB94A7-71C6-4774-90C6-0CD8C245E7AF}"/>
    <cellStyle name="Note 3 3 2 5" xfId="2261" xr:uid="{00000000-0005-0000-0000-0000B5210000}"/>
    <cellStyle name="Note 3 3 2 5 2" xfId="4490" xr:uid="{00000000-0005-0000-0000-0000B6210000}"/>
    <cellStyle name="Note 3 3 2 5 2 2" xfId="8712" xr:uid="{00000000-0005-0000-0000-0000B7210000}"/>
    <cellStyle name="Note 3 3 2 5 2 2 2" xfId="25647" xr:uid="{3C69C014-774E-4F67-90D5-2876536CCB83}"/>
    <cellStyle name="Note 3 3 2 5 2 2 3" xfId="17206" xr:uid="{C14309ED-2FEB-4101-8436-3D3DFC07A5CA}"/>
    <cellStyle name="Note 3 3 2 5 2 3" xfId="21429" xr:uid="{C63CC9B6-C61D-4B3D-B306-25D259E710C0}"/>
    <cellStyle name="Note 3 3 2 5 2 4" xfId="12987" xr:uid="{FF837B4B-775D-4328-8102-333F8A4D52B2}"/>
    <cellStyle name="Note 3 3 2 5 3" xfId="6567" xr:uid="{00000000-0005-0000-0000-0000B8210000}"/>
    <cellStyle name="Note 3 3 2 5 3 2" xfId="23502" xr:uid="{5906B7C4-EDC0-448B-8E5D-4150C969DF88}"/>
    <cellStyle name="Note 3 3 2 5 3 3" xfId="15061" xr:uid="{826DDD50-610E-426F-9436-E7C65C212F9E}"/>
    <cellStyle name="Note 3 3 2 5 4" xfId="19284" xr:uid="{DD1A99FE-3511-4AA8-AB85-6903142E946D}"/>
    <cellStyle name="Note 3 3 2 5 5" xfId="10810" xr:uid="{2257795A-40BF-45F5-BC65-8471EF581670}"/>
    <cellStyle name="Note 3 3 2 6" xfId="2697" xr:uid="{00000000-0005-0000-0000-0000B9210000}"/>
    <cellStyle name="Note 3 3 2 6 2" xfId="6980" xr:uid="{00000000-0005-0000-0000-0000BA210000}"/>
    <cellStyle name="Note 3 3 2 6 2 2" xfId="23915" xr:uid="{0D9D497B-A2E1-4535-9EB9-347A53699481}"/>
    <cellStyle name="Note 3 3 2 6 2 3" xfId="15474" xr:uid="{AB3BB1A8-E391-456A-96BC-644CF7695B06}"/>
    <cellStyle name="Note 3 3 2 6 3" xfId="19697" xr:uid="{AF0BA6C5-0863-4BB2-92FA-3CD3A806EB31}"/>
    <cellStyle name="Note 3 3 2 6 4" xfId="11245" xr:uid="{715CB82B-E21A-4D64-ACF4-6BE7E73AC2E5}"/>
    <cellStyle name="Note 3 3 2 7" xfId="2756" xr:uid="{00000000-0005-0000-0000-0000BB210000}"/>
    <cellStyle name="Note 3 3 2 8" xfId="2837" xr:uid="{00000000-0005-0000-0000-0000BC210000}"/>
    <cellStyle name="Note 3 3 2 8 2" xfId="7060" xr:uid="{00000000-0005-0000-0000-0000BD210000}"/>
    <cellStyle name="Note 3 3 2 8 2 2" xfId="23995" xr:uid="{384495C4-548D-4436-8329-D46C0E47E559}"/>
    <cellStyle name="Note 3 3 2 8 2 3" xfId="15554" xr:uid="{A4F632CC-B340-4ABA-B2A9-62409ECBA9A3}"/>
    <cellStyle name="Note 3 3 2 8 3" xfId="19777" xr:uid="{269439AC-E591-4480-A5E3-0695710CE121}"/>
    <cellStyle name="Note 3 3 2 8 4" xfId="11335" xr:uid="{12AF1C21-50C1-4540-B790-D97A9F85FE4B}"/>
    <cellStyle name="Note 3 3 2 9" xfId="4915" xr:uid="{00000000-0005-0000-0000-0000BE210000}"/>
    <cellStyle name="Note 3 3 2 9 2" xfId="21850" xr:uid="{DCB0D1D4-B95D-4C6C-9AC8-5B9D689BB6C8}"/>
    <cellStyle name="Note 3 3 2 9 3" xfId="13409" xr:uid="{2405F85F-4F5B-4F79-9533-698B3B070157}"/>
    <cellStyle name="Note 3 3 3" xfId="1018" xr:uid="{00000000-0005-0000-0000-0000BF210000}"/>
    <cellStyle name="Note 3 3 3 2" xfId="3250" xr:uid="{00000000-0005-0000-0000-0000C0210000}"/>
    <cellStyle name="Note 3 3 3 2 2" xfId="7472" xr:uid="{00000000-0005-0000-0000-0000C1210000}"/>
    <cellStyle name="Note 3 3 3 2 2 2" xfId="24407" xr:uid="{42E97E55-D46B-4017-9983-DA7ACC5CC856}"/>
    <cellStyle name="Note 3 3 3 2 2 3" xfId="15966" xr:uid="{14DCD0AF-DCED-4C2A-92FC-2F6C8F1CB83B}"/>
    <cellStyle name="Note 3 3 3 2 3" xfId="20189" xr:uid="{75C8F7E6-77AC-4D5B-A6E4-79976C2AA86F}"/>
    <cellStyle name="Note 3 3 3 2 4" xfId="11747" xr:uid="{9C388AF6-E7C8-4285-A24F-437077B68705}"/>
    <cellStyle name="Note 3 3 3 3" xfId="5327" xr:uid="{00000000-0005-0000-0000-0000C2210000}"/>
    <cellStyle name="Note 3 3 3 3 2" xfId="22262" xr:uid="{A455961D-EB50-481D-B4D1-965241B91833}"/>
    <cellStyle name="Note 3 3 3 3 3" xfId="13821" xr:uid="{0F32829A-5A6A-448C-8011-0E8DB42BF9F9}"/>
    <cellStyle name="Note 3 3 3 4" xfId="18044" xr:uid="{90FB1855-B6D4-4FEE-8AB7-BC4A44E7FB7D}"/>
    <cellStyle name="Note 3 3 3 5" xfId="9570" xr:uid="{71FC8527-52EF-4C28-A75A-A52B32069BAF}"/>
    <cellStyle name="Note 3 3 4" xfId="1433" xr:uid="{00000000-0005-0000-0000-0000C3210000}"/>
    <cellStyle name="Note 3 3 4 2" xfId="3663" xr:uid="{00000000-0005-0000-0000-0000C4210000}"/>
    <cellStyle name="Note 3 3 4 2 2" xfId="7885" xr:uid="{00000000-0005-0000-0000-0000C5210000}"/>
    <cellStyle name="Note 3 3 4 2 2 2" xfId="24820" xr:uid="{6B40CF05-31D6-4968-8417-7EA1CF38712F}"/>
    <cellStyle name="Note 3 3 4 2 2 3" xfId="16379" xr:uid="{F68E7559-C909-47CB-96D2-64BB5CA918E5}"/>
    <cellStyle name="Note 3 3 4 2 3" xfId="20602" xr:uid="{384DD1BE-9D78-4B5A-A872-8C283B654D42}"/>
    <cellStyle name="Note 3 3 4 2 4" xfId="12160" xr:uid="{7FF6ED4A-963F-40C3-9E06-C35BF3125820}"/>
    <cellStyle name="Note 3 3 4 3" xfId="5740" xr:uid="{00000000-0005-0000-0000-0000C6210000}"/>
    <cellStyle name="Note 3 3 4 3 2" xfId="22675" xr:uid="{F2E97C26-82F5-4846-87D4-CFE465FE0619}"/>
    <cellStyle name="Note 3 3 4 3 3" xfId="14234" xr:uid="{384E1ACD-6213-4677-940E-073474CE7D65}"/>
    <cellStyle name="Note 3 3 4 4" xfId="18457" xr:uid="{A0F222DB-6207-42AA-91BA-DD2F6A9617A8}"/>
    <cellStyle name="Note 3 3 4 5" xfId="9983" xr:uid="{7ECD7123-85FD-4FA0-9F76-547E58B63412}"/>
    <cellStyle name="Note 3 3 5" xfId="1847" xr:uid="{00000000-0005-0000-0000-0000C7210000}"/>
    <cellStyle name="Note 3 3 5 2" xfId="4076" xr:uid="{00000000-0005-0000-0000-0000C8210000}"/>
    <cellStyle name="Note 3 3 5 2 2" xfId="8298" xr:uid="{00000000-0005-0000-0000-0000C9210000}"/>
    <cellStyle name="Note 3 3 5 2 2 2" xfId="25233" xr:uid="{0686B6C2-54E6-454B-B06B-D5A063D06DB1}"/>
    <cellStyle name="Note 3 3 5 2 2 3" xfId="16792" xr:uid="{92F457B4-56FA-4955-B37F-FD46E8619D6D}"/>
    <cellStyle name="Note 3 3 5 2 3" xfId="21015" xr:uid="{37A94D3B-8FFF-445E-8FF2-C008809A3989}"/>
    <cellStyle name="Note 3 3 5 2 4" xfId="12573" xr:uid="{72F01928-8E79-421D-8CCE-646A51070090}"/>
    <cellStyle name="Note 3 3 5 3" xfId="6153" xr:uid="{00000000-0005-0000-0000-0000CA210000}"/>
    <cellStyle name="Note 3 3 5 3 2" xfId="23088" xr:uid="{82574FD1-0E94-450A-A874-518F4010BF34}"/>
    <cellStyle name="Note 3 3 5 3 3" xfId="14647" xr:uid="{1B57094A-F570-410B-9956-E3DED4C170F6}"/>
    <cellStyle name="Note 3 3 5 4" xfId="18870" xr:uid="{B66E2682-A2E3-465F-B4BB-144DFFACF0ED}"/>
    <cellStyle name="Note 3 3 5 5" xfId="10396" xr:uid="{C98FDD07-762A-4FBD-86C3-AAFA21038888}"/>
    <cellStyle name="Note 3 3 6" xfId="2260" xr:uid="{00000000-0005-0000-0000-0000CB210000}"/>
    <cellStyle name="Note 3 3 6 2" xfId="4489" xr:uid="{00000000-0005-0000-0000-0000CC210000}"/>
    <cellStyle name="Note 3 3 6 2 2" xfId="8711" xr:uid="{00000000-0005-0000-0000-0000CD210000}"/>
    <cellStyle name="Note 3 3 6 2 2 2" xfId="25646" xr:uid="{ECD3B4C8-C02B-4B94-BFCE-4FC33FFFBB4A}"/>
    <cellStyle name="Note 3 3 6 2 2 3" xfId="17205" xr:uid="{1A754C77-B17A-4CBB-9B56-AD066FF6ECCB}"/>
    <cellStyle name="Note 3 3 6 2 3" xfId="21428" xr:uid="{2852F32D-CB44-4B85-B493-DED2209A2D6B}"/>
    <cellStyle name="Note 3 3 6 2 4" xfId="12986" xr:uid="{FAE0ACBD-EC3A-4F30-9958-E41DA4E42A77}"/>
    <cellStyle name="Note 3 3 6 3" xfId="6566" xr:uid="{00000000-0005-0000-0000-0000CE210000}"/>
    <cellStyle name="Note 3 3 6 3 2" xfId="23501" xr:uid="{9D2F2C5E-4CEC-47CA-AF81-8F0C9CB45CF6}"/>
    <cellStyle name="Note 3 3 6 3 3" xfId="15060" xr:uid="{A2CDE6D4-E519-4BA0-AE16-3297A5DCB549}"/>
    <cellStyle name="Note 3 3 6 4" xfId="19283" xr:uid="{046911D3-5457-4392-B227-E856FDFFC024}"/>
    <cellStyle name="Note 3 3 6 5" xfId="10809" xr:uid="{2DD9C03C-F220-4109-9DE1-DAE30F60D617}"/>
    <cellStyle name="Note 3 3 7" xfId="2696" xr:uid="{00000000-0005-0000-0000-0000CF210000}"/>
    <cellStyle name="Note 3 3 7 2" xfId="6979" xr:uid="{00000000-0005-0000-0000-0000D0210000}"/>
    <cellStyle name="Note 3 3 7 2 2" xfId="23914" xr:uid="{44F7FE52-FA98-4A3F-8FC1-DD0785F3AEC7}"/>
    <cellStyle name="Note 3 3 7 2 3" xfId="15473" xr:uid="{4A3C037D-D5F6-4608-81DA-9B9A74953707}"/>
    <cellStyle name="Note 3 3 7 3" xfId="19696" xr:uid="{C7F87C87-094B-4962-9C20-FD07E9D40AB2}"/>
    <cellStyle name="Note 3 3 7 4" xfId="11244" xr:uid="{04899669-FF5C-4053-915C-7DBBF7D4F54E}"/>
    <cellStyle name="Note 3 3 8" xfId="2755" xr:uid="{00000000-0005-0000-0000-0000D1210000}"/>
    <cellStyle name="Note 3 3 9" xfId="2836" xr:uid="{00000000-0005-0000-0000-0000D2210000}"/>
    <cellStyle name="Note 3 3 9 2" xfId="7059" xr:uid="{00000000-0005-0000-0000-0000D3210000}"/>
    <cellStyle name="Note 3 3 9 2 2" xfId="23994" xr:uid="{E5EB2BC1-D2F6-4ADD-852B-5547046AD4E8}"/>
    <cellStyle name="Note 3 3 9 2 3" xfId="15553" xr:uid="{236C30CA-DE01-4430-A555-C2D3FAA8D042}"/>
    <cellStyle name="Note 3 3 9 3" xfId="19776" xr:uid="{9B110ED0-2DF1-4BF8-A5FA-4FDA406C6051}"/>
    <cellStyle name="Note 3 3 9 4" xfId="11334" xr:uid="{72A92AEB-B850-4931-A58F-190EEE40D176}"/>
    <cellStyle name="Note 3 4" xfId="560" xr:uid="{00000000-0005-0000-0000-0000D4210000}"/>
    <cellStyle name="Note 3 4 10" xfId="17633" xr:uid="{4A001E93-A9C8-4C5F-9C98-04010E35CB13}"/>
    <cellStyle name="Note 3 4 11" xfId="9158" xr:uid="{72FC518B-2250-4252-BDB8-BCA46E433415}"/>
    <cellStyle name="Note 3 4 2" xfId="1020" xr:uid="{00000000-0005-0000-0000-0000D5210000}"/>
    <cellStyle name="Note 3 4 2 2" xfId="3252" xr:uid="{00000000-0005-0000-0000-0000D6210000}"/>
    <cellStyle name="Note 3 4 2 2 2" xfId="7474" xr:uid="{00000000-0005-0000-0000-0000D7210000}"/>
    <cellStyle name="Note 3 4 2 2 2 2" xfId="24409" xr:uid="{8A03BCB9-683C-4EBA-9E89-6812F103A98A}"/>
    <cellStyle name="Note 3 4 2 2 2 3" xfId="15968" xr:uid="{4C7DFB78-2034-4063-BCA0-C7DC4BCA30DF}"/>
    <cellStyle name="Note 3 4 2 2 3" xfId="20191" xr:uid="{56BB93BB-7C70-4BD2-A3D4-51A0E7739C03}"/>
    <cellStyle name="Note 3 4 2 2 4" xfId="11749" xr:uid="{160E5631-349C-4021-9419-8CCECA6CD4AF}"/>
    <cellStyle name="Note 3 4 2 3" xfId="5329" xr:uid="{00000000-0005-0000-0000-0000D8210000}"/>
    <cellStyle name="Note 3 4 2 3 2" xfId="22264" xr:uid="{611C9329-B75E-4AE5-88A2-3E17106A95B1}"/>
    <cellStyle name="Note 3 4 2 3 3" xfId="13823" xr:uid="{8977732C-1555-474F-A691-9FD78C974FA2}"/>
    <cellStyle name="Note 3 4 2 4" xfId="18046" xr:uid="{34A2A2E6-7165-478A-96D0-77604218277A}"/>
    <cellStyle name="Note 3 4 2 5" xfId="9572" xr:uid="{4498D637-2012-431C-969C-9C2D837C4EA4}"/>
    <cellStyle name="Note 3 4 3" xfId="1435" xr:uid="{00000000-0005-0000-0000-0000D9210000}"/>
    <cellStyle name="Note 3 4 3 2" xfId="3665" xr:uid="{00000000-0005-0000-0000-0000DA210000}"/>
    <cellStyle name="Note 3 4 3 2 2" xfId="7887" xr:uid="{00000000-0005-0000-0000-0000DB210000}"/>
    <cellStyle name="Note 3 4 3 2 2 2" xfId="24822" xr:uid="{2C6F3014-AD49-4655-BDC6-34464AE2E23A}"/>
    <cellStyle name="Note 3 4 3 2 2 3" xfId="16381" xr:uid="{81F29682-AD61-49EF-B040-63DE85FF9970}"/>
    <cellStyle name="Note 3 4 3 2 3" xfId="20604" xr:uid="{55D24F81-866D-4AD4-8031-5F7CEB8535B6}"/>
    <cellStyle name="Note 3 4 3 2 4" xfId="12162" xr:uid="{6D540BA3-A6B2-42FB-9E43-8CBBB863E6A5}"/>
    <cellStyle name="Note 3 4 3 3" xfId="5742" xr:uid="{00000000-0005-0000-0000-0000DC210000}"/>
    <cellStyle name="Note 3 4 3 3 2" xfId="22677" xr:uid="{C6DC5AA7-1614-4D8F-B1E1-0338B6AED49C}"/>
    <cellStyle name="Note 3 4 3 3 3" xfId="14236" xr:uid="{B35DAD5B-B2FC-4C4A-9645-AE4312F87295}"/>
    <cellStyle name="Note 3 4 3 4" xfId="18459" xr:uid="{B3D2DD63-50A5-4FF0-89EF-D2D672423B81}"/>
    <cellStyle name="Note 3 4 3 5" xfId="9985" xr:uid="{92401B66-BD2A-4FC1-A22E-29C90A145D92}"/>
    <cellStyle name="Note 3 4 4" xfId="1849" xr:uid="{00000000-0005-0000-0000-0000DD210000}"/>
    <cellStyle name="Note 3 4 4 2" xfId="4078" xr:uid="{00000000-0005-0000-0000-0000DE210000}"/>
    <cellStyle name="Note 3 4 4 2 2" xfId="8300" xr:uid="{00000000-0005-0000-0000-0000DF210000}"/>
    <cellStyle name="Note 3 4 4 2 2 2" xfId="25235" xr:uid="{9F76CDF2-39AD-4483-A61A-BD89307228DC}"/>
    <cellStyle name="Note 3 4 4 2 2 3" xfId="16794" xr:uid="{A8E523F7-AD4C-4DE5-84B9-7299B0238F4F}"/>
    <cellStyle name="Note 3 4 4 2 3" xfId="21017" xr:uid="{B02470D0-8C87-477E-A35A-B0E82C0E3D58}"/>
    <cellStyle name="Note 3 4 4 2 4" xfId="12575" xr:uid="{34D3103D-56C6-4459-ACF1-8CA68C2F0939}"/>
    <cellStyle name="Note 3 4 4 3" xfId="6155" xr:uid="{00000000-0005-0000-0000-0000E0210000}"/>
    <cellStyle name="Note 3 4 4 3 2" xfId="23090" xr:uid="{56F8F7BB-ED4A-4CEA-9E5D-06FC6DD05D75}"/>
    <cellStyle name="Note 3 4 4 3 3" xfId="14649" xr:uid="{4A6D027D-E42E-4379-9CF8-E6E83D1F18DE}"/>
    <cellStyle name="Note 3 4 4 4" xfId="18872" xr:uid="{9F00CEDE-388A-483E-AAD0-7CF3EB2068D5}"/>
    <cellStyle name="Note 3 4 4 5" xfId="10398" xr:uid="{760A6650-8969-4E98-8BD6-C2A721F61F53}"/>
    <cellStyle name="Note 3 4 5" xfId="2262" xr:uid="{00000000-0005-0000-0000-0000E1210000}"/>
    <cellStyle name="Note 3 4 5 2" xfId="4491" xr:uid="{00000000-0005-0000-0000-0000E2210000}"/>
    <cellStyle name="Note 3 4 5 2 2" xfId="8713" xr:uid="{00000000-0005-0000-0000-0000E3210000}"/>
    <cellStyle name="Note 3 4 5 2 2 2" xfId="25648" xr:uid="{4BE9C50E-60FD-4D9F-A4BD-D5E850A62259}"/>
    <cellStyle name="Note 3 4 5 2 2 3" xfId="17207" xr:uid="{86184019-DB69-401E-AECA-1079F1469396}"/>
    <cellStyle name="Note 3 4 5 2 3" xfId="21430" xr:uid="{D058F230-6DC8-4FAC-ACD6-8FB5F251E095}"/>
    <cellStyle name="Note 3 4 5 2 4" xfId="12988" xr:uid="{4CC8AF92-0C12-4564-8311-104DD9BDD2C4}"/>
    <cellStyle name="Note 3 4 5 3" xfId="6568" xr:uid="{00000000-0005-0000-0000-0000E4210000}"/>
    <cellStyle name="Note 3 4 5 3 2" xfId="23503" xr:uid="{B635872A-4D9D-4DF1-A09C-37775F8FE29B}"/>
    <cellStyle name="Note 3 4 5 3 3" xfId="15062" xr:uid="{9BA97AF9-DABF-400E-B769-2E564A7497C0}"/>
    <cellStyle name="Note 3 4 5 4" xfId="19285" xr:uid="{F3E00967-0198-447F-B874-F155F37B6AD3}"/>
    <cellStyle name="Note 3 4 5 5" xfId="10811" xr:uid="{0A8EFA44-79E4-4041-B73F-A046BBC034A3}"/>
    <cellStyle name="Note 3 4 6" xfId="2698" xr:uid="{00000000-0005-0000-0000-0000E5210000}"/>
    <cellStyle name="Note 3 4 6 2" xfId="6981" xr:uid="{00000000-0005-0000-0000-0000E6210000}"/>
    <cellStyle name="Note 3 4 6 2 2" xfId="23916" xr:uid="{F7CBF438-095F-4824-A9B8-70DEA92A1C62}"/>
    <cellStyle name="Note 3 4 6 2 3" xfId="15475" xr:uid="{8DE8087E-E888-48BC-9D80-11E1A605D0C3}"/>
    <cellStyle name="Note 3 4 6 3" xfId="19698" xr:uid="{BE7BD4E2-DC27-4DFF-9D54-173145FE61BF}"/>
    <cellStyle name="Note 3 4 6 4" xfId="11246" xr:uid="{7F9873CB-4759-4375-AAC8-29DAFFE915B6}"/>
    <cellStyle name="Note 3 4 7" xfId="2757" xr:uid="{00000000-0005-0000-0000-0000E7210000}"/>
    <cellStyle name="Note 3 4 8" xfId="2838" xr:uid="{00000000-0005-0000-0000-0000E8210000}"/>
    <cellStyle name="Note 3 4 8 2" xfId="7061" xr:uid="{00000000-0005-0000-0000-0000E9210000}"/>
    <cellStyle name="Note 3 4 8 2 2" xfId="23996" xr:uid="{49F8744F-1413-47F9-B95E-29288E0309B3}"/>
    <cellStyle name="Note 3 4 8 2 3" xfId="15555" xr:uid="{05835EC2-5CBD-4BE8-BFA5-02721593449B}"/>
    <cellStyle name="Note 3 4 8 3" xfId="19778" xr:uid="{0DD6430F-A025-4D8A-943D-B2FD4B444A18}"/>
    <cellStyle name="Note 3 4 8 4" xfId="11336" xr:uid="{25869F22-2505-4494-A21F-06104CF614D7}"/>
    <cellStyle name="Note 3 4 9" xfId="4916" xr:uid="{00000000-0005-0000-0000-0000EA210000}"/>
    <cellStyle name="Note 3 4 9 2" xfId="21851" xr:uid="{BA493445-7CE1-45ED-B3EB-9B6FE9326159}"/>
    <cellStyle name="Note 3 4 9 3" xfId="13410" xr:uid="{071DB805-0610-4C04-8863-828462876854}"/>
    <cellStyle name="Note 3 5" xfId="561" xr:uid="{00000000-0005-0000-0000-0000EB210000}"/>
    <cellStyle name="Note 3 5 10" xfId="17634" xr:uid="{D64F0D7F-0EFB-4AD5-BACA-51D297200BB7}"/>
    <cellStyle name="Note 3 5 11" xfId="9159" xr:uid="{4030C611-2B92-4731-AB5E-CA880941A007}"/>
    <cellStyle name="Note 3 5 2" xfId="1021" xr:uid="{00000000-0005-0000-0000-0000EC210000}"/>
    <cellStyle name="Note 3 5 2 2" xfId="3253" xr:uid="{00000000-0005-0000-0000-0000ED210000}"/>
    <cellStyle name="Note 3 5 2 2 2" xfId="7475" xr:uid="{00000000-0005-0000-0000-0000EE210000}"/>
    <cellStyle name="Note 3 5 2 2 2 2" xfId="24410" xr:uid="{5D4D672D-BCE8-4E45-B5C6-6A528BA67142}"/>
    <cellStyle name="Note 3 5 2 2 2 3" xfId="15969" xr:uid="{1CAB86E1-BF41-443E-929B-E764BE53F1F1}"/>
    <cellStyle name="Note 3 5 2 2 3" xfId="20192" xr:uid="{A5683374-2E05-4708-90E0-B8D182BB751D}"/>
    <cellStyle name="Note 3 5 2 2 4" xfId="11750" xr:uid="{563E4CA7-1CFE-410B-B9D7-1945C486C753}"/>
    <cellStyle name="Note 3 5 2 3" xfId="5330" xr:uid="{00000000-0005-0000-0000-0000EF210000}"/>
    <cellStyle name="Note 3 5 2 3 2" xfId="22265" xr:uid="{5EF3B647-F4E0-4951-B3FB-2CCC4C3264FB}"/>
    <cellStyle name="Note 3 5 2 3 3" xfId="13824" xr:uid="{507990A3-9899-413C-BF57-6B0271AF3561}"/>
    <cellStyle name="Note 3 5 2 4" xfId="18047" xr:uid="{354E1B36-A4DC-4E52-9E39-1FADEC7631DC}"/>
    <cellStyle name="Note 3 5 2 5" xfId="9573" xr:uid="{2C9F0AAC-CA69-45C5-B59B-033A979F63BA}"/>
    <cellStyle name="Note 3 5 3" xfId="1436" xr:uid="{00000000-0005-0000-0000-0000F0210000}"/>
    <cellStyle name="Note 3 5 3 2" xfId="3666" xr:uid="{00000000-0005-0000-0000-0000F1210000}"/>
    <cellStyle name="Note 3 5 3 2 2" xfId="7888" xr:uid="{00000000-0005-0000-0000-0000F2210000}"/>
    <cellStyle name="Note 3 5 3 2 2 2" xfId="24823" xr:uid="{5B173018-B9F5-4BFC-9A57-F891918836B2}"/>
    <cellStyle name="Note 3 5 3 2 2 3" xfId="16382" xr:uid="{A1170713-59DA-443E-BAE0-C6E9A2965F20}"/>
    <cellStyle name="Note 3 5 3 2 3" xfId="20605" xr:uid="{A015B7B4-D5E9-4840-BDB1-B13F24F4FE9D}"/>
    <cellStyle name="Note 3 5 3 2 4" xfId="12163" xr:uid="{E99B65B5-6D7B-40C2-A094-34FFFBF8BB6D}"/>
    <cellStyle name="Note 3 5 3 3" xfId="5743" xr:uid="{00000000-0005-0000-0000-0000F3210000}"/>
    <cellStyle name="Note 3 5 3 3 2" xfId="22678" xr:uid="{F1B5D36C-00B9-4AD3-B8CB-95B6C84D9C1E}"/>
    <cellStyle name="Note 3 5 3 3 3" xfId="14237" xr:uid="{94DD2FCE-4871-48AF-831F-EA6003A48285}"/>
    <cellStyle name="Note 3 5 3 4" xfId="18460" xr:uid="{C8753159-FA84-4555-9332-51158C676A35}"/>
    <cellStyle name="Note 3 5 3 5" xfId="9986" xr:uid="{52A69F95-27D8-4B8C-B464-47C287F1B4F6}"/>
    <cellStyle name="Note 3 5 4" xfId="1850" xr:uid="{00000000-0005-0000-0000-0000F4210000}"/>
    <cellStyle name="Note 3 5 4 2" xfId="4079" xr:uid="{00000000-0005-0000-0000-0000F5210000}"/>
    <cellStyle name="Note 3 5 4 2 2" xfId="8301" xr:uid="{00000000-0005-0000-0000-0000F6210000}"/>
    <cellStyle name="Note 3 5 4 2 2 2" xfId="25236" xr:uid="{CFC18CF1-0F72-4A1E-854D-A29883C0F88E}"/>
    <cellStyle name="Note 3 5 4 2 2 3" xfId="16795" xr:uid="{7B9DAE94-F877-40C5-97C8-949684BD6408}"/>
    <cellStyle name="Note 3 5 4 2 3" xfId="21018" xr:uid="{F6BECA9D-F429-455D-92E3-F05300B358D5}"/>
    <cellStyle name="Note 3 5 4 2 4" xfId="12576" xr:uid="{661CC396-F875-4130-A7EC-4B705D86D88A}"/>
    <cellStyle name="Note 3 5 4 3" xfId="6156" xr:uid="{00000000-0005-0000-0000-0000F7210000}"/>
    <cellStyle name="Note 3 5 4 3 2" xfId="23091" xr:uid="{F012CA94-1C5C-415A-A1E9-2E3B650CEDBF}"/>
    <cellStyle name="Note 3 5 4 3 3" xfId="14650" xr:uid="{AC6D801A-5BA4-4292-BE37-892B66629683}"/>
    <cellStyle name="Note 3 5 4 4" xfId="18873" xr:uid="{84A6335A-0FDD-4665-AB31-1D930186B07A}"/>
    <cellStyle name="Note 3 5 4 5" xfId="10399" xr:uid="{E2A973BD-8FC8-4DAE-BAF1-558B711676C6}"/>
    <cellStyle name="Note 3 5 5" xfId="2263" xr:uid="{00000000-0005-0000-0000-0000F8210000}"/>
    <cellStyle name="Note 3 5 5 2" xfId="4492" xr:uid="{00000000-0005-0000-0000-0000F9210000}"/>
    <cellStyle name="Note 3 5 5 2 2" xfId="8714" xr:uid="{00000000-0005-0000-0000-0000FA210000}"/>
    <cellStyle name="Note 3 5 5 2 2 2" xfId="25649" xr:uid="{AC12212C-5268-42CC-BC42-C9683188890E}"/>
    <cellStyle name="Note 3 5 5 2 2 3" xfId="17208" xr:uid="{0457C8CA-C866-432E-BC4D-85D2A2A5EADF}"/>
    <cellStyle name="Note 3 5 5 2 3" xfId="21431" xr:uid="{194C2848-C3FD-4C84-B6D3-1BFD9B89662A}"/>
    <cellStyle name="Note 3 5 5 2 4" xfId="12989" xr:uid="{8F05FF52-DCD4-4880-BF48-CA30F4329128}"/>
    <cellStyle name="Note 3 5 5 3" xfId="6569" xr:uid="{00000000-0005-0000-0000-0000FB210000}"/>
    <cellStyle name="Note 3 5 5 3 2" xfId="23504" xr:uid="{F2D84059-5103-49EC-A5F9-7EF8E3D664F2}"/>
    <cellStyle name="Note 3 5 5 3 3" xfId="15063" xr:uid="{0C3394D3-D9AB-43C1-AA5D-32818F57F7AF}"/>
    <cellStyle name="Note 3 5 5 4" xfId="19286" xr:uid="{53164C7F-AA2B-458C-B946-2F9624FCF24D}"/>
    <cellStyle name="Note 3 5 5 5" xfId="10812" xr:uid="{3FCFF356-8EA2-49B2-9A45-DD143FBE2648}"/>
    <cellStyle name="Note 3 5 6" xfId="2699" xr:uid="{00000000-0005-0000-0000-0000FC210000}"/>
    <cellStyle name="Note 3 5 6 2" xfId="6982" xr:uid="{00000000-0005-0000-0000-0000FD210000}"/>
    <cellStyle name="Note 3 5 6 2 2" xfId="23917" xr:uid="{B5D4AFC7-1F41-453E-B9A6-2CD33BBD4293}"/>
    <cellStyle name="Note 3 5 6 2 3" xfId="15476" xr:uid="{96FFB2C7-6F4A-4E54-B63E-0E91FB1A3208}"/>
    <cellStyle name="Note 3 5 6 3" xfId="19699" xr:uid="{9102C058-3956-4B1B-9DB8-81EDE6959FEF}"/>
    <cellStyle name="Note 3 5 6 4" xfId="11247" xr:uid="{6BD0B87C-8CA9-4ED6-A728-17EF624CBF52}"/>
    <cellStyle name="Note 3 5 7" xfId="2758" xr:uid="{00000000-0005-0000-0000-0000FE210000}"/>
    <cellStyle name="Note 3 5 8" xfId="2839" xr:uid="{00000000-0005-0000-0000-0000FF210000}"/>
    <cellStyle name="Note 3 5 8 2" xfId="7062" xr:uid="{00000000-0005-0000-0000-000000220000}"/>
    <cellStyle name="Note 3 5 8 2 2" xfId="23997" xr:uid="{88A13060-3E9E-43EA-84AD-D41308488A82}"/>
    <cellStyle name="Note 3 5 8 2 3" xfId="15556" xr:uid="{A199E0D5-BB63-4A89-A018-6DC9B4B2A126}"/>
    <cellStyle name="Note 3 5 8 3" xfId="19779" xr:uid="{46FD48E0-5CBF-4015-B567-3EA78B4F9D87}"/>
    <cellStyle name="Note 3 5 8 4" xfId="11337" xr:uid="{B08F7163-84A8-4320-8A74-54C3FC78B480}"/>
    <cellStyle name="Note 3 5 9" xfId="4917" xr:uid="{00000000-0005-0000-0000-000001220000}"/>
    <cellStyle name="Note 3 5 9 2" xfId="21852" xr:uid="{6FDE6118-FD57-420B-B507-17EA64738B35}"/>
    <cellStyle name="Note 3 5 9 3" xfId="13411" xr:uid="{B2546F0D-F2DD-496F-B8B3-76CE076BC1DF}"/>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1435" xr:uid="{FFE232B5-9F74-474B-855E-5606B1FBC2C8}"/>
    <cellStyle name="Percent 3 3" xfId="12993" xr:uid="{BDC2548E-670D-415C-8A05-4B0178B0E8AD}"/>
    <cellStyle name="Percent 4" xfId="4502" xr:uid="{00000000-0005-0000-0000-000007220000}"/>
    <cellStyle name="Percent 4 2" xfId="8717" xr:uid="{00000000-0005-0000-0000-000008220000}"/>
    <cellStyle name="Percent 4 2 2" xfId="25652" xr:uid="{AB58E672-9979-43E5-8686-80B1AC914457}"/>
    <cellStyle name="Percent 4 2 3" xfId="17211" xr:uid="{8EAAA952-2124-4A44-9051-A9E30575A69B}"/>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3" xfId="25661" xr:uid="{9E7F1F8D-95CA-437A-80B5-5003CB575EA3}"/>
    <cellStyle name="Percent 4 3 2 2 3" xfId="17220" xr:uid="{8EB28F29-2941-4A3A-8DEF-266DC41B601D}"/>
    <cellStyle name="Percent 4 3 2 3" xfId="25658" xr:uid="{CF8CFFBB-D493-47FD-BFB0-7191FC929EB1}"/>
    <cellStyle name="Percent 4 3 2 4" xfId="17217" xr:uid="{B01B95FB-C6BE-43AF-8F99-0824A40BF79D}"/>
    <cellStyle name="Percent 4 3 3" xfId="25655" xr:uid="{3EE18C29-B93C-41F7-80D2-3F3C5F4B759D}"/>
    <cellStyle name="Percent 4 3 4" xfId="17214" xr:uid="{60DD6849-AEBE-49F8-AFE2-F44FD6082DDA}"/>
    <cellStyle name="Percent 4 4" xfId="21438" xr:uid="{17648E68-59C6-45A8-8E0E-0183C19FF58E}"/>
    <cellStyle name="Percent 4 5" xfId="12996" xr:uid="{3F195DEC-A75B-411F-B7AB-43D3C43C0C5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3"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3" thickTop="1"/>
    <row r="4" spans="1:38" s="4" customFormat="1" ht="13">
      <c r="B4" s="9" t="s">
        <v>1</v>
      </c>
      <c r="C4" s="9" t="s">
        <v>2</v>
      </c>
      <c r="D4" s="1107"/>
      <c r="E4" s="1107"/>
      <c r="F4" s="1107"/>
      <c r="G4" s="1107"/>
      <c r="H4" s="1107"/>
      <c r="I4" s="1107"/>
      <c r="J4" s="1107"/>
      <c r="K4" s="1107"/>
      <c r="L4" s="1107"/>
      <c r="M4" s="1107"/>
      <c r="N4" s="1107"/>
      <c r="O4" s="1107"/>
      <c r="P4" s="1107"/>
      <c r="Q4" s="1107"/>
      <c r="R4" s="1107"/>
      <c r="S4" s="1107"/>
      <c r="T4" s="1107"/>
      <c r="U4" s="1107"/>
      <c r="V4" s="1107"/>
      <c r="W4" s="1107"/>
      <c r="X4" s="1107"/>
      <c r="Y4" s="1107"/>
      <c r="Z4" s="1107"/>
      <c r="AA4" s="1107"/>
      <c r="AB4" s="1107"/>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13"/>
      <c r="B7" s="113"/>
      <c r="C7" s="114"/>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126"/>
    </row>
    <row r="8" spans="1:38" ht="13">
      <c r="A8" s="113"/>
      <c r="B8" s="113"/>
      <c r="C8" s="114"/>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1126"/>
    </row>
    <row r="9" spans="1:38" ht="13">
      <c r="A9" s="113"/>
      <c r="B9" s="113"/>
      <c r="C9" s="114"/>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1126"/>
    </row>
    <row r="10" spans="1:38" ht="13">
      <c r="A10" s="113"/>
      <c r="B10" s="113"/>
      <c r="C10" s="114"/>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c r="AE10" s="1126"/>
      <c r="AF10" s="1126"/>
      <c r="AG10" s="1126"/>
      <c r="AH10" s="1126"/>
      <c r="AI10" s="1126"/>
      <c r="AJ10" s="1126"/>
      <c r="AK10" s="1126"/>
      <c r="AL10" s="1126"/>
    </row>
    <row r="11" spans="1:38" ht="13" customHeight="1">
      <c r="A11" s="113"/>
      <c r="B11" s="113"/>
      <c r="C11" s="114"/>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126"/>
    </row>
    <row r="12" spans="1:38" ht="13">
      <c r="A12" s="113"/>
      <c r="B12" s="113"/>
      <c r="C12" s="114"/>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1126"/>
    </row>
    <row r="13" spans="1:38" ht="13">
      <c r="A13" s="113"/>
      <c r="B13" s="113"/>
      <c r="C13" s="114"/>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126"/>
    </row>
    <row r="14" spans="1:38" ht="13">
      <c r="A14" s="113"/>
      <c r="B14" s="113"/>
      <c r="C14" s="114"/>
      <c r="D14" s="1112"/>
      <c r="E14" s="1112"/>
      <c r="F14" s="1112"/>
      <c r="G14" s="1112"/>
      <c r="H14" s="1112"/>
      <c r="I14" s="1112"/>
      <c r="J14" s="1112"/>
      <c r="K14" s="1112"/>
      <c r="L14" s="1112"/>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c r="AH14" s="1112"/>
      <c r="AI14" s="1112"/>
      <c r="AJ14" s="1112"/>
      <c r="AK14" s="1112"/>
      <c r="AL14" s="1126"/>
    </row>
    <row r="15" spans="1:38" ht="13.4" customHeight="1">
      <c r="A15" s="113"/>
      <c r="B15" s="113"/>
      <c r="C15" s="114"/>
      <c r="D15" s="1221" t="s">
        <v>7</v>
      </c>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126"/>
    </row>
    <row r="16" spans="1:38" ht="13.4" customHeight="1">
      <c r="A16" s="113"/>
      <c r="B16" s="113"/>
      <c r="C16" s="114"/>
      <c r="D16" s="1221"/>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1126"/>
    </row>
    <row r="17" spans="1:38" ht="13">
      <c r="A17" s="113"/>
      <c r="B17" s="113"/>
      <c r="C17" s="114"/>
      <c r="D17" s="1221"/>
      <c r="E17" s="1221"/>
      <c r="F17" s="1221"/>
      <c r="G17" s="1221"/>
      <c r="H17" s="1221"/>
      <c r="I17" s="1221"/>
      <c r="J17" s="1221"/>
      <c r="K17" s="1221"/>
      <c r="L17" s="1221"/>
      <c r="M17" s="1221"/>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c r="AL17" s="1126"/>
    </row>
    <row r="18" spans="1:38" ht="13">
      <c r="A18" s="113"/>
      <c r="B18" s="113"/>
      <c r="C18" s="114"/>
      <c r="D18" s="1125" t="s">
        <v>8</v>
      </c>
      <c r="E18" s="1112"/>
      <c r="G18" s="1112"/>
      <c r="H18" s="1112"/>
      <c r="I18" s="1112"/>
      <c r="J18" s="1234" t="s">
        <v>9</v>
      </c>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1126"/>
    </row>
    <row r="19" spans="1:38" ht="13">
      <c r="A19" s="113"/>
      <c r="B19" s="113"/>
      <c r="C19" s="114"/>
      <c r="D19" s="1112"/>
      <c r="E19" s="1112"/>
      <c r="F19" s="1113"/>
      <c r="G19" s="1112"/>
      <c r="H19" s="1112"/>
      <c r="I19" s="1112"/>
      <c r="J19" s="1112"/>
      <c r="K19" s="1112"/>
      <c r="L19" s="1112"/>
      <c r="M19" s="1112"/>
      <c r="N19" s="1112"/>
      <c r="O19" s="1112"/>
      <c r="P19" s="1112"/>
      <c r="Q19" s="1112"/>
      <c r="R19" s="1112"/>
      <c r="S19" s="1112"/>
      <c r="T19" s="1112"/>
      <c r="U19" s="1112"/>
      <c r="V19" s="1112"/>
      <c r="W19" s="1112"/>
      <c r="X19" s="1112"/>
      <c r="Y19" s="1112"/>
      <c r="Z19" s="1112"/>
      <c r="AA19" s="1112"/>
      <c r="AB19" s="1112"/>
      <c r="AC19" s="1112"/>
      <c r="AD19" s="1112"/>
      <c r="AE19" s="1112"/>
      <c r="AF19" s="1112"/>
      <c r="AG19" s="1112"/>
      <c r="AH19" s="1112"/>
      <c r="AI19" s="1112"/>
      <c r="AJ19" s="1112"/>
      <c r="AK19" s="1112"/>
      <c r="AL19" s="1126"/>
    </row>
    <row r="20" spans="1:38" ht="13.4" customHeight="1">
      <c r="A20" s="113"/>
      <c r="B20" s="113"/>
      <c r="C20" s="114"/>
      <c r="D20" s="1221" t="s">
        <v>10</v>
      </c>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13"/>
    </row>
    <row r="21" spans="1:38" ht="13">
      <c r="A21" s="113"/>
      <c r="B21" s="113"/>
      <c r="C21" s="114"/>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13"/>
    </row>
    <row r="22" spans="1:38" ht="13">
      <c r="A22" s="113"/>
      <c r="B22" s="113"/>
      <c r="C22" s="114"/>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13"/>
    </row>
    <row r="23" spans="1:38" ht="13.4" customHeight="1">
      <c r="A23" s="113"/>
      <c r="B23" s="113"/>
      <c r="C23" s="114"/>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13"/>
    </row>
    <row r="24" spans="1:38" ht="13">
      <c r="A24" s="113"/>
      <c r="B24" s="113"/>
      <c r="C24" s="114"/>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13"/>
    </row>
    <row r="25" spans="1:38" ht="13">
      <c r="A25" s="113"/>
      <c r="B25" s="113"/>
      <c r="C25" s="114"/>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13"/>
    </row>
    <row r="26" spans="1:38" ht="13">
      <c r="A26" s="113"/>
      <c r="B26" s="113"/>
      <c r="C26" s="114"/>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13"/>
    </row>
    <row r="27" spans="1:38" ht="13">
      <c r="A27" s="113"/>
      <c r="B27" s="113"/>
      <c r="C27" s="114"/>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13"/>
    </row>
    <row r="28" spans="1:38" ht="13">
      <c r="A28" s="113"/>
      <c r="B28" s="113"/>
      <c r="C28" s="114"/>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13"/>
    </row>
    <row r="29" spans="1:38" ht="13">
      <c r="A29" s="113"/>
      <c r="B29" s="113"/>
      <c r="C29" s="114"/>
      <c r="D29" s="1112"/>
      <c r="E29" s="1112"/>
      <c r="F29" s="1112"/>
      <c r="G29" s="1112"/>
      <c r="H29" s="1112"/>
      <c r="I29" s="1112"/>
      <c r="J29" s="1112"/>
      <c r="K29" s="1112"/>
      <c r="L29" s="1112"/>
      <c r="M29" s="1112"/>
      <c r="N29" s="1112"/>
      <c r="O29" s="1112"/>
      <c r="P29" s="1112"/>
      <c r="Q29" s="1112"/>
      <c r="R29" s="1112"/>
      <c r="S29" s="1112"/>
      <c r="T29" s="1112"/>
      <c r="U29" s="1112"/>
      <c r="V29" s="1112"/>
      <c r="W29" s="1112"/>
      <c r="X29" s="1112"/>
      <c r="Y29" s="1112"/>
      <c r="Z29" s="1112"/>
      <c r="AA29" s="1112"/>
      <c r="AB29" s="1112"/>
      <c r="AC29" s="1112"/>
      <c r="AD29" s="1112"/>
      <c r="AE29" s="1112"/>
      <c r="AF29" s="1112"/>
      <c r="AG29" s="1112"/>
      <c r="AH29" s="1112"/>
      <c r="AI29" s="1112"/>
      <c r="AJ29" s="1112"/>
      <c r="AK29" s="1112"/>
      <c r="AL29" s="113"/>
    </row>
    <row r="30" spans="1:38" ht="13.4" customHeight="1">
      <c r="A30" s="113"/>
      <c r="B30" s="113"/>
      <c r="C30" s="114"/>
      <c r="D30" s="1221" t="s">
        <v>11</v>
      </c>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13"/>
    </row>
    <row r="31" spans="1:38" ht="13">
      <c r="A31" s="113"/>
      <c r="B31" s="113"/>
      <c r="C31" s="114"/>
      <c r="D31" s="1126"/>
      <c r="E31" s="1222" t="s">
        <v>12</v>
      </c>
      <c r="F31" s="1223"/>
      <c r="G31" s="1223"/>
      <c r="H31" s="1223"/>
      <c r="I31" s="1223"/>
      <c r="J31" s="1223"/>
      <c r="K31" s="1223"/>
      <c r="L31" s="1223"/>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13"/>
    </row>
    <row r="32" spans="1:38" ht="13">
      <c r="A32" s="2"/>
      <c r="C32" s="1"/>
    </row>
    <row r="33" spans="1:38">
      <c r="A33" s="2"/>
      <c r="D33" s="1233" t="s">
        <v>13</v>
      </c>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row>
    <row r="34" spans="1:38">
      <c r="A34" s="2"/>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row>
    <row r="35" spans="1:38" ht="13">
      <c r="A35" s="2"/>
      <c r="D35" s="70"/>
      <c r="E35" s="1228" t="s">
        <v>14</v>
      </c>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ht="13">
      <c r="A36" s="2"/>
      <c r="D36" s="70"/>
      <c r="E36" s="1228" t="s">
        <v>15</v>
      </c>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ht="13">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ht="13">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51"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1" customFormat="1" ht="13.4" customHeight="1">
      <c r="A40" s="2"/>
      <c r="B40"/>
      <c r="C40" s="1"/>
      <c r="D40" s="2"/>
      <c r="E40" s="2" t="s">
        <v>20</v>
      </c>
      <c r="F40" s="1221" t="s">
        <v>21</v>
      </c>
    </row>
    <row r="41" spans="1:38" s="1221" customFormat="1" ht="13.4" customHeight="1">
      <c r="A41" s="2"/>
      <c r="B41"/>
      <c r="C41" s="1"/>
      <c r="D41" s="2"/>
      <c r="E41" s="2"/>
    </row>
    <row r="42" spans="1:38" ht="13">
      <c r="A42" s="2"/>
      <c r="C42" s="1"/>
      <c r="D42" s="2"/>
      <c r="E42" s="2"/>
      <c r="F42" s="68" t="s">
        <v>22</v>
      </c>
      <c r="G42" s="2" t="s">
        <v>23</v>
      </c>
      <c r="H42" s="1126"/>
      <c r="I42" s="1126"/>
      <c r="J42" s="1126"/>
      <c r="K42" s="1126"/>
      <c r="L42" s="1126"/>
      <c r="M42" s="1126"/>
      <c r="N42" s="1126"/>
      <c r="O42" s="1126"/>
      <c r="P42" s="1126"/>
      <c r="Q42" s="1126"/>
      <c r="R42" s="1126"/>
      <c r="S42" s="1126"/>
      <c r="T42" s="1126"/>
      <c r="U42" s="1126"/>
      <c r="V42" s="1126"/>
      <c r="W42" s="1126"/>
      <c r="X42" s="1126"/>
      <c r="Y42" s="1126"/>
      <c r="Z42" s="1126"/>
      <c r="AA42" s="1126"/>
      <c r="AB42" s="1126"/>
      <c r="AC42" s="1126"/>
      <c r="AD42" s="1126"/>
      <c r="AE42" s="1126"/>
      <c r="AF42" s="1126"/>
      <c r="AG42" s="1126"/>
      <c r="AH42" s="1126"/>
      <c r="AI42" s="1126"/>
      <c r="AJ42" s="1126"/>
      <c r="AK42" s="1126"/>
    </row>
    <row r="43" spans="1:38" s="68" customFormat="1" ht="13.4" customHeight="1">
      <c r="A43" s="2"/>
      <c r="B43"/>
      <c r="C43" s="1"/>
      <c r="D43" s="2"/>
      <c r="E43" s="2" t="s">
        <v>24</v>
      </c>
      <c r="F43" s="1227" t="s">
        <v>25</v>
      </c>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row>
    <row r="44" spans="1:38" s="68" customFormat="1" ht="13">
      <c r="A44" s="2"/>
      <c r="B44"/>
      <c r="C44" s="1"/>
      <c r="D44" s="2"/>
      <c r="E44" s="2"/>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row>
    <row r="45" spans="1:38" s="68" customFormat="1" ht="13.4" customHeight="1">
      <c r="A45" s="2"/>
      <c r="B45"/>
      <c r="C45" s="1"/>
      <c r="D45" s="2"/>
      <c r="E45" s="2"/>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ht="13">
      <c r="A46" s="2"/>
      <c r="C46" s="1"/>
      <c r="D46" s="2"/>
      <c r="E46" s="2"/>
      <c r="F46" s="68" t="s">
        <v>22</v>
      </c>
      <c r="G46" s="2" t="s">
        <v>26</v>
      </c>
      <c r="H46" s="1153"/>
      <c r="I46" s="1153"/>
      <c r="J46" s="1153"/>
      <c r="K46" s="1153"/>
      <c r="L46" s="1153"/>
      <c r="M46" s="1153"/>
      <c r="N46" s="1153"/>
      <c r="O46" s="1153"/>
      <c r="P46" s="1153"/>
      <c r="Q46" s="1153"/>
      <c r="R46" s="1153"/>
      <c r="S46" s="1153"/>
      <c r="T46" s="1153"/>
      <c r="U46" s="1153"/>
      <c r="V46" s="1153"/>
      <c r="W46" s="1153"/>
      <c r="X46" s="1153"/>
      <c r="Y46" s="1153"/>
      <c r="Z46" s="1153"/>
      <c r="AA46" s="1153"/>
      <c r="AB46" s="1153"/>
      <c r="AC46" s="1153"/>
      <c r="AD46" s="1153"/>
      <c r="AE46" s="1153"/>
      <c r="AF46" s="1153"/>
      <c r="AG46" s="1153"/>
      <c r="AH46" s="1153"/>
      <c r="AI46" s="1153"/>
      <c r="AJ46" s="1153"/>
      <c r="AK46" s="1153"/>
      <c r="AL46" s="1153"/>
    </row>
    <row r="47" spans="1:38" ht="13">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ht="13">
      <c r="A48" s="2"/>
      <c r="C48" s="1"/>
      <c r="D48" s="2"/>
      <c r="E48" s="2" t="s">
        <v>29</v>
      </c>
      <c r="F48" s="1221" t="s">
        <v>30</v>
      </c>
      <c r="G48" s="1221"/>
      <c r="H48" s="1221"/>
      <c r="I48" s="1221"/>
      <c r="J48" s="1221"/>
      <c r="K48" s="1221"/>
      <c r="L48" s="1221"/>
      <c r="M48" s="1221"/>
      <c r="N48" s="1221"/>
      <c r="O48" s="1221"/>
      <c r="P48" s="1221"/>
      <c r="Q48" s="1221"/>
      <c r="R48" s="1221"/>
      <c r="S48" s="1221"/>
      <c r="T48" s="1221"/>
      <c r="U48" s="1221"/>
      <c r="V48" s="1221"/>
      <c r="W48" s="1221"/>
      <c r="X48" s="1221"/>
      <c r="Y48" s="1221"/>
      <c r="Z48" s="1221"/>
      <c r="AA48" s="1221"/>
      <c r="AB48" s="1221"/>
      <c r="AC48" s="1221"/>
      <c r="AD48" s="1221"/>
      <c r="AE48" s="1221"/>
      <c r="AF48" s="1221"/>
      <c r="AG48" s="1221"/>
      <c r="AH48" s="1221"/>
      <c r="AI48" s="1221"/>
      <c r="AJ48" s="1221"/>
      <c r="AK48" s="1221"/>
    </row>
    <row r="49" spans="1:38" ht="13">
      <c r="A49" s="2"/>
      <c r="C49" s="1"/>
      <c r="D49" s="2"/>
      <c r="E49" s="2"/>
      <c r="F49" s="1221"/>
      <c r="G49" s="1221"/>
      <c r="H49" s="1221"/>
      <c r="I49" s="1221"/>
      <c r="J49" s="1221"/>
      <c r="K49" s="1221"/>
      <c r="L49" s="1221"/>
      <c r="M49" s="1221"/>
      <c r="N49" s="1221"/>
      <c r="O49" s="1221"/>
      <c r="P49" s="1221"/>
      <c r="Q49" s="1221"/>
      <c r="R49" s="1221"/>
      <c r="S49" s="1221"/>
      <c r="T49" s="1221"/>
      <c r="U49" s="1221"/>
      <c r="V49" s="1221"/>
      <c r="W49" s="1221"/>
      <c r="X49" s="1221"/>
      <c r="Y49" s="1221"/>
      <c r="Z49" s="1221"/>
      <c r="AA49" s="1221"/>
      <c r="AB49" s="1221"/>
      <c r="AC49" s="1221"/>
      <c r="AD49" s="1221"/>
      <c r="AE49" s="1221"/>
      <c r="AF49" s="1221"/>
      <c r="AG49" s="1221"/>
      <c r="AH49" s="1221"/>
      <c r="AI49" s="1221"/>
      <c r="AJ49" s="1221"/>
      <c r="AK49" s="1221"/>
    </row>
    <row r="50" spans="1:38" ht="13">
      <c r="A50" s="2"/>
      <c r="C50" s="1"/>
      <c r="D50" s="2"/>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ht="13">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ht="13">
      <c r="A52" s="2"/>
      <c r="C52" s="1"/>
      <c r="D52" s="2" t="s">
        <v>31</v>
      </c>
      <c r="E52" s="2" t="s">
        <v>32</v>
      </c>
      <c r="F52" s="2"/>
      <c r="G52" s="2"/>
      <c r="H52" s="2"/>
      <c r="I52" s="2"/>
      <c r="J52" s="1032"/>
      <c r="K52" s="1032"/>
      <c r="L52" s="1032"/>
      <c r="M52" s="1032"/>
      <c r="N52" s="1032"/>
      <c r="O52" s="70"/>
      <c r="P52" s="70"/>
      <c r="Q52" s="70"/>
      <c r="R52" s="70"/>
      <c r="S52" s="70"/>
      <c r="T52" s="70"/>
      <c r="U52" s="2"/>
      <c r="V52" s="2"/>
      <c r="W52" s="2"/>
      <c r="X52" s="2"/>
      <c r="Y52" s="2"/>
      <c r="Z52" s="2"/>
      <c r="AA52" s="2"/>
      <c r="AB52" s="2"/>
    </row>
    <row r="53" spans="1:38" ht="13">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4" customHeight="1">
      <c r="A54" s="113"/>
      <c r="B54" s="113"/>
      <c r="C54" s="114"/>
      <c r="D54" s="114"/>
      <c r="E54" s="113"/>
      <c r="F54" s="115"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13"/>
    </row>
    <row r="55" spans="1:38" ht="13.4" customHeight="1">
      <c r="A55" s="113"/>
      <c r="B55" s="113"/>
      <c r="C55" s="114"/>
      <c r="D55" s="114"/>
      <c r="E55" s="113"/>
      <c r="F55" s="115"/>
      <c r="G55" s="333" t="s">
        <v>35</v>
      </c>
      <c r="H55" s="1114"/>
      <c r="I55" s="1114"/>
      <c r="J55" s="1114"/>
      <c r="K55" s="1114"/>
      <c r="L55" s="1114"/>
      <c r="M55" s="1114"/>
      <c r="N55" s="1114"/>
      <c r="O55" s="1114"/>
      <c r="P55" s="1114"/>
      <c r="Q55" s="1114"/>
      <c r="R55" s="1114"/>
      <c r="S55" s="1114"/>
      <c r="T55" s="1114"/>
      <c r="U55" s="1114"/>
      <c r="V55" s="1114"/>
      <c r="W55" s="1114"/>
      <c r="X55" s="1114"/>
      <c r="Y55" s="1114"/>
      <c r="Z55" s="1114"/>
      <c r="AA55" s="1114"/>
      <c r="AB55" s="1114"/>
      <c r="AC55" s="1114"/>
      <c r="AD55" s="1114"/>
      <c r="AE55" s="1114"/>
      <c r="AF55" s="1114"/>
      <c r="AG55" s="1114"/>
      <c r="AH55" s="1114"/>
      <c r="AI55" s="1114"/>
      <c r="AJ55" s="1114"/>
      <c r="AK55" s="1114"/>
      <c r="AL55" s="113"/>
    </row>
    <row r="56" spans="1:38" ht="13">
      <c r="A56" s="113"/>
      <c r="B56" s="113"/>
      <c r="C56" s="114"/>
      <c r="D56" s="114"/>
      <c r="E56" s="113"/>
      <c r="F56" s="115"/>
      <c r="G56" s="1226" t="s">
        <v>36</v>
      </c>
      <c r="H56" s="1226"/>
      <c r="I56" s="1226"/>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4" customHeight="1">
      <c r="A57" s="113"/>
      <c r="B57" s="114"/>
      <c r="C57" s="114"/>
      <c r="D57" s="114"/>
      <c r="E57" s="113"/>
      <c r="F57" s="115"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ht="13">
      <c r="A58" s="113"/>
      <c r="B58" s="113"/>
      <c r="C58" s="114"/>
      <c r="D58" s="114"/>
      <c r="E58" s="113"/>
      <c r="F58" s="115"/>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ht="13">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ht="13">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ht="13">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ht="13">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ht="13">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ht="13">
      <c r="A64" s="2"/>
      <c r="C64" s="1"/>
      <c r="D64" s="2"/>
      <c r="E64" s="2"/>
      <c r="F64" t="s">
        <v>22</v>
      </c>
      <c r="G64" s="1221" t="s">
        <v>42</v>
      </c>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row>
    <row r="65" spans="1:37" ht="13">
      <c r="A65" s="2"/>
      <c r="C65" s="1"/>
      <c r="D65" s="2"/>
      <c r="E65" s="2"/>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row>
    <row r="66" spans="1:37" ht="13">
      <c r="A66" s="2"/>
      <c r="C66" s="1"/>
      <c r="D66" s="2"/>
      <c r="E66" s="2"/>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ht="13.4" customHeight="1">
      <c r="A67" s="2"/>
      <c r="C67" s="1"/>
      <c r="D67" s="2"/>
      <c r="E67" s="2"/>
      <c r="F67" t="s">
        <v>27</v>
      </c>
      <c r="G67" s="1221" t="s">
        <v>43</v>
      </c>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ht="13">
      <c r="A68" s="2"/>
      <c r="C68" s="1"/>
      <c r="D68" s="2"/>
      <c r="E68" s="2"/>
      <c r="F68" s="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
      <c r="A69" s="2"/>
      <c r="C69" s="1"/>
      <c r="D69" s="2"/>
      <c r="E69" s="2" t="s">
        <v>24</v>
      </c>
      <c r="F69" s="2" t="s">
        <v>44</v>
      </c>
      <c r="G69" s="1126"/>
      <c r="H69" s="1126"/>
      <c r="I69" s="1126"/>
      <c r="J69" s="1126"/>
      <c r="K69" s="1126"/>
      <c r="L69" s="1126"/>
      <c r="M69" s="1126"/>
      <c r="N69" s="1126"/>
      <c r="O69" s="1126"/>
      <c r="P69" s="1126"/>
      <c r="Q69" s="1126"/>
      <c r="R69" s="1126"/>
      <c r="S69" s="1126"/>
      <c r="T69" s="1126"/>
      <c r="U69" s="1126"/>
      <c r="V69" s="1126"/>
      <c r="W69" s="1126"/>
      <c r="X69" s="1126"/>
      <c r="Y69" s="1126"/>
      <c r="Z69" s="1126"/>
      <c r="AA69" s="1126"/>
      <c r="AB69" s="1126"/>
      <c r="AC69" s="1126"/>
      <c r="AD69" s="1126"/>
      <c r="AE69" s="1126"/>
      <c r="AF69" s="1126"/>
      <c r="AG69" s="1126"/>
      <c r="AH69" s="1126"/>
      <c r="AI69" s="1126"/>
      <c r="AJ69" s="1126"/>
      <c r="AK69" s="1126"/>
    </row>
    <row r="70" spans="1:37" ht="13">
      <c r="A70" s="2"/>
      <c r="C70" s="1"/>
      <c r="D70" s="2"/>
      <c r="E70" s="2"/>
      <c r="F70" s="6" t="s">
        <v>22</v>
      </c>
      <c r="G70" s="1221" t="s">
        <v>45</v>
      </c>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ht="13">
      <c r="A71" s="2"/>
      <c r="C71" s="1"/>
      <c r="D71" s="2"/>
      <c r="E71" s="2"/>
      <c r="F71" s="6"/>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row>
    <row r="72" spans="1:37" ht="13">
      <c r="A72" s="2"/>
      <c r="C72" s="1"/>
      <c r="D72" s="2"/>
      <c r="E72" s="2"/>
      <c r="F72" s="6" t="s">
        <v>27</v>
      </c>
      <c r="G72" s="1221" t="s">
        <v>46</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ht="13">
      <c r="A73" s="2"/>
      <c r="C73" s="1"/>
      <c r="D73" s="2"/>
      <c r="E73" s="2"/>
      <c r="F73" s="6"/>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ht="13">
      <c r="A74" s="2"/>
      <c r="C74" s="1"/>
      <c r="D74" s="2"/>
      <c r="E74" s="2"/>
      <c r="F74" s="6"/>
      <c r="G74" s="70" t="s">
        <v>47</v>
      </c>
      <c r="H74" s="2"/>
      <c r="J74" s="70"/>
      <c r="K74" s="70"/>
      <c r="L74" s="70"/>
      <c r="P74" s="2"/>
      <c r="Q74" s="2"/>
      <c r="R74" s="2"/>
      <c r="S74" s="2"/>
      <c r="T74" s="2"/>
      <c r="U74" s="2"/>
      <c r="V74" s="2"/>
      <c r="W74" s="2"/>
      <c r="X74" s="2"/>
      <c r="Y74" s="2"/>
      <c r="Z74" s="2"/>
      <c r="AA74" s="2"/>
      <c r="AB74" s="2"/>
    </row>
    <row r="75" spans="1:37" ht="13">
      <c r="A75" s="2"/>
      <c r="C75" s="1"/>
      <c r="D75" s="2"/>
      <c r="E75" s="2"/>
      <c r="F75" s="6"/>
      <c r="G75" s="70" t="s">
        <v>48</v>
      </c>
      <c r="J75" s="70"/>
      <c r="K75" s="70"/>
      <c r="L75" s="70"/>
      <c r="P75" s="2"/>
      <c r="Q75" s="2"/>
      <c r="R75" s="2"/>
      <c r="S75" s="2"/>
      <c r="T75" s="2"/>
      <c r="U75" s="2"/>
      <c r="V75" s="2"/>
      <c r="W75" s="2"/>
      <c r="X75" s="2"/>
      <c r="Y75" s="2"/>
      <c r="Z75" s="2"/>
      <c r="AA75" s="2"/>
      <c r="AB75" s="2"/>
    </row>
    <row r="76" spans="1:37" ht="13">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ht="13">
      <c r="A77" s="2"/>
      <c r="C77" s="1"/>
      <c r="D77" s="2"/>
      <c r="E77" s="2"/>
      <c r="F77" s="2"/>
      <c r="G77" s="2" t="s">
        <v>51</v>
      </c>
      <c r="H77" s="2" t="s">
        <v>52</v>
      </c>
      <c r="K77" s="2"/>
      <c r="L77" s="2"/>
      <c r="M77" s="2"/>
      <c r="P77" s="2"/>
      <c r="Q77" s="2"/>
      <c r="R77" s="2"/>
      <c r="S77" s="2"/>
      <c r="T77" s="2"/>
      <c r="U77" s="2"/>
      <c r="V77" s="2"/>
      <c r="W77" s="2"/>
      <c r="X77" s="2"/>
      <c r="Y77" s="2"/>
      <c r="Z77" s="2"/>
      <c r="AA77" s="2"/>
      <c r="AB77" s="2"/>
    </row>
    <row r="78" spans="1:37" ht="13">
      <c r="A78" s="2"/>
      <c r="C78" s="1"/>
      <c r="D78" s="2"/>
      <c r="E78" s="2"/>
      <c r="F78" s="2"/>
      <c r="G78" s="2" t="s">
        <v>53</v>
      </c>
      <c r="H78" s="2" t="s">
        <v>54</v>
      </c>
      <c r="K78" s="2"/>
      <c r="L78" s="2"/>
      <c r="M78" s="2"/>
      <c r="P78" s="2"/>
      <c r="Q78" s="2"/>
      <c r="R78" s="2"/>
      <c r="S78" s="2"/>
      <c r="T78" s="2"/>
      <c r="U78" s="2"/>
      <c r="V78" s="2"/>
      <c r="W78" s="2"/>
      <c r="X78" s="2"/>
      <c r="Y78" s="2"/>
      <c r="Z78" s="2"/>
      <c r="AA78" s="2"/>
      <c r="AB78" s="2"/>
    </row>
    <row r="79" spans="1:37" ht="13">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ht="13">
      <c r="A80" s="2"/>
      <c r="C80" s="1"/>
      <c r="D80" s="2"/>
      <c r="E80" s="2"/>
      <c r="F80" s="6"/>
      <c r="G80" s="1221" t="s">
        <v>56</v>
      </c>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row>
    <row r="81" spans="1:37" ht="13">
      <c r="A81" s="2"/>
      <c r="C81" s="1"/>
      <c r="D81" s="2"/>
      <c r="E81" s="2"/>
      <c r="F81" s="2"/>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row>
    <row r="82" spans="1:37" ht="13">
      <c r="A82" s="2"/>
      <c r="C82" s="1"/>
      <c r="D82" s="2"/>
      <c r="E82" s="2"/>
      <c r="F82" s="2"/>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ht="13">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ht="13">
      <c r="A84" s="2"/>
      <c r="C84" s="1"/>
      <c r="D84" s="2"/>
      <c r="E84" s="2"/>
      <c r="F84" s="6"/>
      <c r="G84" s="1221" t="s">
        <v>59</v>
      </c>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ht="13">
      <c r="A85" s="2"/>
      <c r="C85" s="1"/>
      <c r="D85" s="2"/>
      <c r="E85" s="2"/>
      <c r="F85" s="2"/>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row>
    <row r="86" spans="1:37" ht="13">
      <c r="A86" s="2"/>
      <c r="C86" s="1"/>
      <c r="D86" s="2"/>
      <c r="E86" s="2"/>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ht="13">
      <c r="A87" s="2"/>
      <c r="C87" s="1"/>
      <c r="D87" s="2"/>
      <c r="E87" s="2" t="s">
        <v>60</v>
      </c>
      <c r="F87" t="s">
        <v>61</v>
      </c>
      <c r="G87" s="2"/>
      <c r="L87" s="2"/>
      <c r="M87" s="2"/>
      <c r="P87" s="2"/>
      <c r="Q87" s="2"/>
      <c r="R87" s="2"/>
      <c r="S87" s="2"/>
      <c r="T87" s="2"/>
      <c r="U87" s="2"/>
      <c r="V87" s="2"/>
      <c r="W87" s="2"/>
      <c r="X87" s="2"/>
      <c r="Y87" s="2"/>
      <c r="Z87" s="2"/>
      <c r="AA87" s="2"/>
      <c r="AB87" s="2"/>
    </row>
    <row r="88" spans="1:37" ht="13">
      <c r="A88" s="2"/>
      <c r="C88" s="1"/>
      <c r="D88" s="2"/>
      <c r="E88" s="2"/>
      <c r="G88" s="1224" t="s">
        <v>62</v>
      </c>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ht="13">
      <c r="A89" s="2"/>
      <c r="C89" s="1"/>
      <c r="D89" s="2"/>
      <c r="E89" s="2"/>
      <c r="G89" s="1224"/>
      <c r="H89" s="1224"/>
      <c r="I89" s="1224"/>
      <c r="J89" s="1224"/>
      <c r="K89" s="1224"/>
      <c r="L89" s="1224"/>
      <c r="M89" s="1224"/>
      <c r="N89" s="1224"/>
      <c r="O89" s="1224"/>
      <c r="P89" s="1224"/>
      <c r="Q89" s="1224"/>
      <c r="R89" s="1224"/>
      <c r="S89" s="1224"/>
      <c r="T89" s="1224"/>
      <c r="U89" s="1224"/>
      <c r="V89" s="1224"/>
      <c r="W89" s="1224"/>
      <c r="X89" s="1224"/>
      <c r="Y89" s="1224"/>
      <c r="Z89" s="1224"/>
      <c r="AA89" s="1224"/>
      <c r="AB89" s="1224"/>
      <c r="AC89" s="1224"/>
      <c r="AD89" s="1224"/>
      <c r="AE89" s="1224"/>
      <c r="AF89" s="1224"/>
      <c r="AG89" s="1224"/>
      <c r="AH89" s="1224"/>
      <c r="AI89" s="1224"/>
      <c r="AJ89" s="1224"/>
      <c r="AK89" s="1224"/>
    </row>
    <row r="90" spans="1:37" ht="13">
      <c r="A90" s="2"/>
      <c r="C90" s="1"/>
      <c r="D90" s="2"/>
      <c r="E90" s="2"/>
      <c r="G90" s="1224"/>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ht="13">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ht="13">
      <c r="A92" s="2"/>
      <c r="C92" s="1"/>
      <c r="D92" s="2"/>
      <c r="E92" s="2"/>
      <c r="F92" s="2"/>
      <c r="G92" s="1221" t="s">
        <v>65</v>
      </c>
      <c r="H92" s="1221"/>
      <c r="I92" s="1221"/>
      <c r="J92" s="1221"/>
      <c r="K92" s="1221"/>
      <c r="L92" s="1221"/>
      <c r="M92" s="1221"/>
      <c r="N92" s="1221"/>
      <c r="O92" s="1221"/>
      <c r="P92" s="1221"/>
      <c r="Q92" s="1221"/>
      <c r="R92" s="1221"/>
      <c r="S92" s="1221"/>
      <c r="T92" s="1221"/>
      <c r="U92" s="1221"/>
      <c r="V92" s="1221"/>
      <c r="W92" s="1221"/>
      <c r="X92" s="1221"/>
      <c r="Y92" s="1221"/>
      <c r="Z92" s="1221"/>
      <c r="AA92" s="1221"/>
      <c r="AB92" s="1221"/>
      <c r="AC92" s="1221"/>
      <c r="AD92" s="1221"/>
      <c r="AE92" s="1221"/>
      <c r="AF92" s="1221"/>
      <c r="AG92" s="1221"/>
      <c r="AH92" s="1221"/>
      <c r="AI92" s="1221"/>
      <c r="AJ92" s="1221"/>
      <c r="AK92" s="1221"/>
    </row>
    <row r="93" spans="1:37" ht="13">
      <c r="A93" s="2"/>
      <c r="C93" s="1"/>
      <c r="D93" s="2"/>
      <c r="E93" s="2"/>
      <c r="G93" s="1221"/>
      <c r="H93" s="1221"/>
      <c r="I93" s="1221"/>
      <c r="J93" s="1221"/>
      <c r="K93" s="1221"/>
      <c r="L93" s="1221"/>
      <c r="M93" s="1221"/>
      <c r="N93" s="1221"/>
      <c r="O93" s="1221"/>
      <c r="P93" s="1221"/>
      <c r="Q93" s="1221"/>
      <c r="R93" s="1221"/>
      <c r="S93" s="1221"/>
      <c r="T93" s="1221"/>
      <c r="U93" s="1221"/>
      <c r="V93" s="1221"/>
      <c r="W93" s="1221"/>
      <c r="X93" s="1221"/>
      <c r="Y93" s="1221"/>
      <c r="Z93" s="1221"/>
      <c r="AA93" s="1221"/>
      <c r="AB93" s="1221"/>
      <c r="AC93" s="1221"/>
      <c r="AD93" s="1221"/>
      <c r="AE93" s="1221"/>
      <c r="AF93" s="1221"/>
      <c r="AG93" s="1221"/>
      <c r="AH93" s="1221"/>
      <c r="AI93" s="1221"/>
      <c r="AJ93" s="1221"/>
      <c r="AK93" s="1221"/>
    </row>
    <row r="94" spans="1:37" ht="13">
      <c r="A94" s="2"/>
      <c r="C94" s="1"/>
      <c r="D94" s="2"/>
      <c r="E94" s="2" t="s">
        <v>66</v>
      </c>
      <c r="F94" s="113" t="s">
        <v>67</v>
      </c>
      <c r="G94" s="113"/>
      <c r="L94" s="2"/>
      <c r="M94" s="2"/>
      <c r="P94" s="2"/>
      <c r="Q94" s="2"/>
      <c r="R94" s="2"/>
      <c r="S94" s="2"/>
      <c r="T94" s="2"/>
      <c r="U94" s="2"/>
      <c r="V94" s="2"/>
      <c r="W94" s="2"/>
      <c r="X94" s="2"/>
      <c r="Y94" s="2"/>
      <c r="Z94" s="2"/>
      <c r="AA94" s="2"/>
      <c r="AB94" s="2"/>
    </row>
    <row r="95" spans="1:37" ht="13">
      <c r="A95" s="2"/>
      <c r="C95" s="1"/>
      <c r="D95" s="2"/>
      <c r="E95" s="2"/>
      <c r="G95" s="1221" t="s">
        <v>68</v>
      </c>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ht="13">
      <c r="A96" s="2"/>
      <c r="C96" s="1"/>
      <c r="D96" s="2"/>
      <c r="E96" s="2"/>
      <c r="G96" s="1221"/>
      <c r="H96" s="1221"/>
      <c r="I96" s="1221"/>
      <c r="J96" s="1221"/>
      <c r="K96" s="1221"/>
      <c r="L96" s="1221"/>
      <c r="M96" s="1221"/>
      <c r="N96" s="1221"/>
      <c r="O96" s="1221"/>
      <c r="P96" s="1221"/>
      <c r="Q96" s="1221"/>
      <c r="R96" s="1221"/>
      <c r="S96" s="1221"/>
      <c r="T96" s="1221"/>
      <c r="U96" s="1221"/>
      <c r="V96" s="1221"/>
      <c r="W96" s="1221"/>
      <c r="X96" s="1221"/>
      <c r="Y96" s="1221"/>
      <c r="Z96" s="1221"/>
      <c r="AA96" s="1221"/>
      <c r="AB96" s="1221"/>
      <c r="AC96" s="1221"/>
      <c r="AD96" s="1221"/>
      <c r="AE96" s="1221"/>
      <c r="AF96" s="1221"/>
      <c r="AG96" s="1221"/>
      <c r="AH96" s="1221"/>
      <c r="AI96" s="1221"/>
      <c r="AJ96" s="1221"/>
      <c r="AK96" s="1221"/>
    </row>
    <row r="97" spans="1:38" ht="13">
      <c r="A97" s="2"/>
      <c r="C97" s="1"/>
      <c r="D97" s="2"/>
      <c r="E97" s="2"/>
      <c r="G97" s="1221"/>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ht="13">
      <c r="A98" s="2"/>
      <c r="D98" s="58"/>
      <c r="E98" s="1225" t="s">
        <v>69</v>
      </c>
      <c r="F98" s="1225"/>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ht="13">
      <c r="A99" s="2"/>
      <c r="D99" s="58"/>
      <c r="E99" s="1225"/>
      <c r="F99" s="1225"/>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ht="13">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ht="13">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ht="13">
      <c r="B102" s="1"/>
      <c r="C102" s="1"/>
      <c r="D102" s="1"/>
      <c r="E102" s="1"/>
      <c r="F102" s="1"/>
      <c r="G102" s="1"/>
      <c r="H102" s="1"/>
      <c r="I102" s="1"/>
      <c r="J102" s="1"/>
      <c r="K102" s="1"/>
    </row>
    <row r="103" spans="1:38" ht="13">
      <c r="B103" s="1"/>
      <c r="C103" s="1" t="s">
        <v>71</v>
      </c>
      <c r="E103" s="1"/>
      <c r="F103" s="1"/>
      <c r="G103" s="1" t="s">
        <v>72</v>
      </c>
      <c r="H103" s="1"/>
      <c r="I103" s="1"/>
      <c r="K103" s="1"/>
    </row>
    <row r="104" spans="1:38" ht="13">
      <c r="B104" s="1"/>
      <c r="C104" s="1"/>
      <c r="D104" s="1" t="s">
        <v>3</v>
      </c>
      <c r="E104" s="1" t="s">
        <v>73</v>
      </c>
      <c r="F104" s="1"/>
      <c r="G104" s="1"/>
      <c r="H104" s="1"/>
      <c r="I104" s="1"/>
      <c r="J104" s="1"/>
      <c r="K104" s="1"/>
      <c r="L104" s="1"/>
      <c r="M104" s="1"/>
    </row>
    <row r="105" spans="1:38" ht="13">
      <c r="B105" s="1"/>
      <c r="C105" s="1"/>
      <c r="E105" s="2" t="s">
        <v>18</v>
      </c>
      <c r="F105" s="57" t="s">
        <v>74</v>
      </c>
      <c r="G105" s="1"/>
      <c r="H105" s="1"/>
      <c r="I105" s="1"/>
      <c r="J105" s="1"/>
      <c r="K105" s="1"/>
    </row>
    <row r="106" spans="1:38">
      <c r="E106" s="2"/>
      <c r="F106" t="s">
        <v>75</v>
      </c>
    </row>
    <row r="107" spans="1:38">
      <c r="E107" s="2"/>
      <c r="F107" t="s">
        <v>76</v>
      </c>
    </row>
    <row r="108" spans="1:38">
      <c r="E108" s="2"/>
    </row>
    <row r="109" spans="1:38" ht="13">
      <c r="E109" s="2" t="s">
        <v>31</v>
      </c>
      <c r="F109" s="57" t="s">
        <v>77</v>
      </c>
      <c r="G109" s="1"/>
      <c r="H109" s="1"/>
      <c r="I109" s="1"/>
      <c r="J109" s="1"/>
    </row>
    <row r="110" spans="1:38">
      <c r="E110" s="2"/>
      <c r="F110" t="s">
        <v>78</v>
      </c>
    </row>
    <row r="111" spans="1:38">
      <c r="E111" s="2"/>
    </row>
    <row r="112" spans="1:38" ht="13">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ht="13">
      <c r="F117" s="2" t="s">
        <v>84</v>
      </c>
      <c r="G117" s="2"/>
    </row>
    <row r="118" spans="2:10" ht="13">
      <c r="F118" s="58" t="s">
        <v>85</v>
      </c>
      <c r="G118" s="58"/>
    </row>
    <row r="119" spans="2:10" ht="13">
      <c r="G119" s="58"/>
    </row>
    <row r="120" spans="2:10">
      <c r="E120" s="2" t="s">
        <v>86</v>
      </c>
      <c r="F120" s="57" t="s">
        <v>87</v>
      </c>
    </row>
    <row r="121" spans="2:10">
      <c r="E121" s="2"/>
      <c r="F121" s="2" t="s">
        <v>88</v>
      </c>
    </row>
    <row r="122" spans="2:10" ht="13">
      <c r="B122" s="1"/>
      <c r="C122" s="1"/>
      <c r="F122" s="1"/>
    </row>
    <row r="123" spans="2:10" ht="13">
      <c r="B123" s="1"/>
      <c r="C123" s="1" t="s">
        <v>89</v>
      </c>
      <c r="G123" s="1" t="s">
        <v>90</v>
      </c>
    </row>
    <row r="124" spans="2:10" ht="13">
      <c r="B124" s="1"/>
      <c r="C124" s="1"/>
      <c r="D124" s="1" t="s">
        <v>3</v>
      </c>
      <c r="E124" s="1" t="s">
        <v>91</v>
      </c>
      <c r="F124" s="1"/>
      <c r="G124" s="1"/>
      <c r="H124" s="1"/>
      <c r="I124" s="1"/>
      <c r="J124" s="1"/>
    </row>
    <row r="125" spans="2:10" ht="13">
      <c r="B125" s="1"/>
      <c r="C125" s="1"/>
      <c r="E125" s="2" t="s">
        <v>92</v>
      </c>
      <c r="F125" s="2"/>
    </row>
    <row r="126" spans="2:10"/>
    <row r="127" spans="2:10" ht="13">
      <c r="D127" s="1" t="s">
        <v>16</v>
      </c>
      <c r="E127" s="1" t="s">
        <v>93</v>
      </c>
    </row>
    <row r="128" spans="2:10">
      <c r="E128" s="2" t="s">
        <v>92</v>
      </c>
      <c r="F128" s="2"/>
    </row>
    <row r="129" spans="4:37"/>
    <row r="130" spans="4:37" ht="13">
      <c r="D130" s="1" t="s">
        <v>94</v>
      </c>
      <c r="E130" s="1" t="s">
        <v>95</v>
      </c>
      <c r="G130" s="1"/>
      <c r="H130" s="1"/>
      <c r="I130" s="1"/>
      <c r="J130" s="1"/>
      <c r="K130" s="1"/>
      <c r="L130" s="1"/>
      <c r="M130" s="1"/>
      <c r="N130" s="1"/>
    </row>
    <row r="131" spans="4:37" ht="13">
      <c r="D131" s="1"/>
      <c r="E131" s="69" t="s">
        <v>96</v>
      </c>
      <c r="G131" s="1"/>
      <c r="H131" s="1"/>
      <c r="I131" s="1"/>
      <c r="J131" s="1"/>
      <c r="K131" s="1"/>
      <c r="L131" s="1"/>
      <c r="M131" s="1"/>
      <c r="N131" s="1"/>
    </row>
    <row r="132" spans="4:37" ht="12.75" customHeight="1">
      <c r="E132" s="69" t="s">
        <v>97</v>
      </c>
      <c r="F132" s="1126"/>
      <c r="G132" s="1126"/>
      <c r="H132" s="1126"/>
      <c r="I132" s="1126"/>
      <c r="J132" s="1126"/>
      <c r="K132" s="1126"/>
      <c r="L132" s="1126"/>
      <c r="M132" s="1126"/>
      <c r="N132" s="1126"/>
      <c r="O132" s="1126"/>
      <c r="P132" s="1126"/>
      <c r="Q132" s="1126"/>
      <c r="R132" s="1126"/>
      <c r="S132" s="1126"/>
      <c r="T132" s="1126"/>
      <c r="U132" s="1126"/>
      <c r="V132" s="1126"/>
      <c r="W132" s="1126"/>
      <c r="X132" s="1126"/>
      <c r="Y132" s="1126"/>
      <c r="Z132" s="1126"/>
      <c r="AA132" s="1126"/>
      <c r="AB132" s="1126"/>
      <c r="AC132" s="1126"/>
      <c r="AD132" s="1126"/>
      <c r="AE132" s="1126"/>
      <c r="AF132" s="1126"/>
      <c r="AG132" s="1126"/>
      <c r="AH132" s="1126"/>
      <c r="AI132" s="1126"/>
      <c r="AJ132" s="1126"/>
      <c r="AK132" s="1126"/>
    </row>
    <row r="133" spans="4:37">
      <c r="E133" s="69" t="s">
        <v>98</v>
      </c>
      <c r="F133" s="1126"/>
      <c r="G133" s="1126"/>
      <c r="H133" s="1126"/>
      <c r="I133" s="1126"/>
      <c r="J133" s="1126"/>
      <c r="K133" s="1126"/>
      <c r="L133" s="1126"/>
      <c r="M133" s="1126"/>
      <c r="N133" s="1126"/>
      <c r="O133" s="1126"/>
      <c r="P133" s="1126"/>
      <c r="Q133" s="1126"/>
      <c r="R133" s="1126"/>
      <c r="S133" s="1126"/>
      <c r="T133" s="1126"/>
      <c r="U133" s="1126"/>
      <c r="V133" s="1126"/>
      <c r="W133" s="1126"/>
      <c r="X133" s="1126"/>
      <c r="Y133" s="1126"/>
      <c r="Z133" s="1126"/>
      <c r="AA133" s="1126"/>
      <c r="AB133" s="1126"/>
      <c r="AC133" s="1126"/>
      <c r="AD133" s="1126"/>
      <c r="AE133" s="1126"/>
      <c r="AF133" s="1126"/>
      <c r="AG133" s="1126"/>
      <c r="AH133" s="1126"/>
      <c r="AI133" s="1126"/>
      <c r="AJ133" s="1126"/>
      <c r="AK133" s="1126"/>
    </row>
    <row r="134" spans="4:37">
      <c r="F134" s="2"/>
    </row>
    <row r="135" spans="4:37" ht="13">
      <c r="D135" s="1" t="s">
        <v>99</v>
      </c>
      <c r="E135" s="1" t="s">
        <v>100</v>
      </c>
      <c r="F135" s="1"/>
    </row>
    <row r="136" spans="4:37">
      <c r="E136" s="2" t="s">
        <v>101</v>
      </c>
      <c r="F136" s="2"/>
    </row>
    <row r="137" spans="4:37">
      <c r="F137" s="2"/>
    </row>
    <row r="138" spans="4:37" ht="13">
      <c r="D138" s="1" t="s">
        <v>102</v>
      </c>
      <c r="E138" s="1" t="s">
        <v>103</v>
      </c>
      <c r="F138" s="1"/>
      <c r="G138" s="1"/>
      <c r="H138" s="1"/>
    </row>
    <row r="139" spans="4:37">
      <c r="E139" t="s">
        <v>18</v>
      </c>
      <c r="F139" t="s">
        <v>104</v>
      </c>
    </row>
    <row r="140" spans="4:37">
      <c r="E140" t="s">
        <v>31</v>
      </c>
      <c r="F140" t="s">
        <v>105</v>
      </c>
    </row>
    <row r="141" spans="4:37"/>
    <row r="142" spans="4:37" ht="13">
      <c r="D142" s="1" t="s">
        <v>106</v>
      </c>
      <c r="E142" s="1" t="s">
        <v>107</v>
      </c>
    </row>
    <row r="143" spans="4:37">
      <c r="E143" s="113" t="s">
        <v>108</v>
      </c>
      <c r="F143" s="113"/>
    </row>
    <row r="144" spans="4:37"/>
    <row r="145" spans="3:7" ht="13">
      <c r="C145" s="1" t="s">
        <v>109</v>
      </c>
      <c r="G145" s="1" t="s">
        <v>110</v>
      </c>
    </row>
    <row r="146" spans="3:7" ht="13">
      <c r="D146" s="1" t="s">
        <v>3</v>
      </c>
      <c r="E146" s="1" t="s">
        <v>111</v>
      </c>
    </row>
    <row r="147" spans="3:7">
      <c r="E147" t="s">
        <v>112</v>
      </c>
    </row>
    <row r="148" spans="3:7"/>
    <row r="149" spans="3:7" ht="13">
      <c r="D149" s="1" t="s">
        <v>16</v>
      </c>
      <c r="E149" s="1" t="s">
        <v>113</v>
      </c>
      <c r="F149" s="1"/>
    </row>
    <row r="150" spans="3:7">
      <c r="E150" s="2" t="s">
        <v>114</v>
      </c>
      <c r="F150" s="2"/>
    </row>
    <row r="151" spans="3:7"/>
    <row r="152" spans="3:7" ht="13">
      <c r="D152" s="1" t="s">
        <v>94</v>
      </c>
      <c r="E152" s="1" t="s">
        <v>115</v>
      </c>
    </row>
    <row r="153" spans="3:7">
      <c r="E153" s="2" t="s">
        <v>116</v>
      </c>
    </row>
    <row r="154" spans="3:7">
      <c r="E154" s="2" t="s">
        <v>117</v>
      </c>
      <c r="G154" s="2"/>
    </row>
    <row r="155" spans="3:7"/>
    <row r="156" spans="3:7" ht="13">
      <c r="D156" s="1" t="s">
        <v>99</v>
      </c>
      <c r="E156" s="1" t="s">
        <v>118</v>
      </c>
    </row>
    <row r="157" spans="3:7">
      <c r="E157" t="s">
        <v>18</v>
      </c>
      <c r="F157" s="2" t="s">
        <v>119</v>
      </c>
    </row>
    <row r="158" spans="3:7">
      <c r="E158" s="2" t="s">
        <v>31</v>
      </c>
      <c r="F158" s="2" t="s">
        <v>120</v>
      </c>
    </row>
    <row r="159" spans="3:7">
      <c r="E159" s="2" t="s">
        <v>39</v>
      </c>
      <c r="F159" t="s">
        <v>121</v>
      </c>
    </row>
    <row r="160" spans="3:7"/>
    <row r="161" spans="3:20" ht="13">
      <c r="D161" s="1" t="s">
        <v>102</v>
      </c>
      <c r="E161" s="1" t="s">
        <v>122</v>
      </c>
    </row>
    <row r="162" spans="3:20">
      <c r="E162" s="2" t="s">
        <v>123</v>
      </c>
      <c r="F162" s="2"/>
    </row>
    <row r="163" spans="3:20"/>
    <row r="164" spans="3:20" ht="13">
      <c r="D164" s="1" t="s">
        <v>106</v>
      </c>
      <c r="E164" s="1" t="s">
        <v>124</v>
      </c>
    </row>
    <row r="165" spans="3:20">
      <c r="E165" s="2" t="s">
        <v>125</v>
      </c>
    </row>
    <row r="166" spans="3:20">
      <c r="E166" s="2" t="s">
        <v>126</v>
      </c>
    </row>
    <row r="167" spans="3:20"/>
    <row r="168" spans="3:20" ht="13">
      <c r="D168" s="1" t="s">
        <v>127</v>
      </c>
      <c r="E168" s="1" t="s">
        <v>128</v>
      </c>
    </row>
    <row r="169" spans="3:20">
      <c r="E169" t="s">
        <v>18</v>
      </c>
      <c r="F169" t="s">
        <v>129</v>
      </c>
    </row>
    <row r="170" spans="3:20">
      <c r="E170" t="s">
        <v>31</v>
      </c>
      <c r="F170" t="s">
        <v>130</v>
      </c>
    </row>
    <row r="171" spans="3:20">
      <c r="F171" s="2"/>
    </row>
    <row r="172" spans="3:20" ht="13">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ht="13">
      <c r="C175" s="1" t="s">
        <v>134</v>
      </c>
      <c r="D175" s="1"/>
      <c r="F175" s="2"/>
      <c r="G175" s="1" t="s">
        <v>93</v>
      </c>
    </row>
    <row r="176" spans="3:20" ht="13">
      <c r="D176" s="1" t="s">
        <v>3</v>
      </c>
      <c r="E176" s="1" t="s">
        <v>135</v>
      </c>
      <c r="G176" s="2"/>
      <c r="H176" s="2"/>
      <c r="I176" s="2"/>
      <c r="J176" s="2"/>
      <c r="K176" s="2"/>
      <c r="L176" s="2"/>
      <c r="M176" s="2"/>
      <c r="N176" s="2"/>
    </row>
    <row r="177" spans="2:19">
      <c r="E177" t="s">
        <v>18</v>
      </c>
      <c r="F177" s="2" t="s">
        <v>136</v>
      </c>
    </row>
    <row r="178" spans="2:19" ht="13">
      <c r="F178" s="70" t="s">
        <v>137</v>
      </c>
      <c r="I178" s="70"/>
    </row>
    <row r="179" spans="2:19" ht="13">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ht="13">
      <c r="D183" s="1" t="s">
        <v>16</v>
      </c>
      <c r="E183" s="1" t="s">
        <v>140</v>
      </c>
    </row>
    <row r="184" spans="2:19">
      <c r="B184" s="2"/>
      <c r="C184" s="2"/>
      <c r="E184" s="2" t="s">
        <v>141</v>
      </c>
      <c r="F184" s="2"/>
      <c r="I184" s="2"/>
    </row>
    <row r="185" spans="2:19" ht="13">
      <c r="B185" s="2"/>
      <c r="C185" s="2"/>
      <c r="E185" s="2" t="s">
        <v>142</v>
      </c>
      <c r="F185" s="70"/>
      <c r="G185" s="2"/>
      <c r="I185" s="70"/>
    </row>
    <row r="186" spans="2:19" ht="13">
      <c r="B186" s="2"/>
      <c r="C186" s="2"/>
      <c r="F186" s="70"/>
      <c r="G186" s="2"/>
      <c r="I186" s="70"/>
    </row>
    <row r="187" spans="2:19" ht="13">
      <c r="B187" s="2"/>
      <c r="C187" s="2"/>
      <c r="D187" s="1" t="s">
        <v>94</v>
      </c>
      <c r="E187" s="1" t="s">
        <v>143</v>
      </c>
      <c r="F187" s="70"/>
      <c r="G187" s="2"/>
      <c r="I187" s="70"/>
    </row>
    <row r="188" spans="2:19" ht="13">
      <c r="B188" s="2"/>
      <c r="C188" s="2"/>
      <c r="D188" s="1"/>
      <c r="E188" s="2" t="s">
        <v>144</v>
      </c>
      <c r="F188" s="2"/>
      <c r="G188" s="2"/>
      <c r="I188" s="70"/>
    </row>
    <row r="189" spans="2:19" ht="13">
      <c r="B189" s="2"/>
      <c r="C189" s="2"/>
      <c r="F189" s="70"/>
      <c r="G189" s="2"/>
      <c r="I189" s="70"/>
    </row>
    <row r="190" spans="2:19" ht="13">
      <c r="D190" s="1" t="s">
        <v>99</v>
      </c>
      <c r="E190" s="1" t="s">
        <v>145</v>
      </c>
    </row>
    <row r="191" spans="2:19" ht="13">
      <c r="B191" s="2"/>
      <c r="C191" s="1"/>
      <c r="E191" t="s">
        <v>18</v>
      </c>
      <c r="F191" s="2" t="s">
        <v>146</v>
      </c>
      <c r="G191" s="2"/>
      <c r="H191" s="2"/>
      <c r="I191" s="2"/>
    </row>
    <row r="192" spans="2:19" ht="13">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ht="13">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ht="13">
      <c r="B199" s="2"/>
      <c r="C199" s="2"/>
      <c r="D199" s="1" t="s">
        <v>106</v>
      </c>
      <c r="E199" s="1" t="s">
        <v>152</v>
      </c>
      <c r="G199" s="2"/>
      <c r="H199" s="2"/>
      <c r="I199" s="2"/>
      <c r="J199" s="2"/>
      <c r="M199" s="2"/>
      <c r="N199" s="2"/>
      <c r="O199" s="2"/>
      <c r="P199" s="2"/>
      <c r="Q199" s="2"/>
      <c r="R199" s="2"/>
      <c r="S199" s="2"/>
    </row>
    <row r="200" spans="2:37" ht="13">
      <c r="B200" s="2"/>
      <c r="C200" s="2"/>
      <c r="D200" s="1"/>
      <c r="E200" s="2" t="s">
        <v>18</v>
      </c>
      <c r="F200" s="2" t="s">
        <v>153</v>
      </c>
      <c r="M200" s="2"/>
      <c r="N200" s="2"/>
      <c r="O200" s="2"/>
      <c r="P200" s="2"/>
      <c r="Q200" s="2"/>
      <c r="R200" s="2"/>
      <c r="S200" s="2"/>
    </row>
    <row r="201" spans="2:37" ht="13">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ht="13">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ht="13">
      <c r="B204" s="2"/>
      <c r="C204" s="2"/>
      <c r="D204" s="1"/>
      <c r="E204" s="2" t="s">
        <v>82</v>
      </c>
      <c r="F204" s="2" t="s">
        <v>157</v>
      </c>
      <c r="M204" s="2"/>
      <c r="N204" s="2"/>
      <c r="O204" s="2"/>
      <c r="P204" s="2"/>
      <c r="Q204" s="2"/>
      <c r="R204" s="2"/>
      <c r="S204" s="2"/>
    </row>
    <row r="205" spans="2:37" ht="13">
      <c r="B205" s="2"/>
      <c r="C205" s="2"/>
      <c r="D205" s="1"/>
      <c r="F205" t="s">
        <v>20</v>
      </c>
      <c r="G205" s="1221" t="s">
        <v>158</v>
      </c>
      <c r="H205" s="1221"/>
      <c r="I205" s="1221"/>
      <c r="J205" s="1221"/>
      <c r="K205" s="1221"/>
      <c r="L205" s="1221"/>
      <c r="M205" s="1221"/>
      <c r="N205" s="1221"/>
      <c r="O205" s="1221"/>
      <c r="P205" s="1221"/>
      <c r="Q205" s="1221"/>
      <c r="R205" s="1221"/>
      <c r="S205" s="1221"/>
      <c r="T205" s="1221"/>
      <c r="U205" s="1221"/>
      <c r="V205" s="1221"/>
      <c r="W205" s="1221"/>
      <c r="X205" s="1221"/>
      <c r="Y205" s="1221"/>
      <c r="Z205" s="1221"/>
      <c r="AA205" s="1221"/>
      <c r="AB205" s="1221"/>
      <c r="AC205" s="1221"/>
      <c r="AD205" s="1221"/>
      <c r="AE205" s="1221"/>
      <c r="AF205" s="1221"/>
      <c r="AG205" s="1221"/>
      <c r="AH205" s="1221"/>
      <c r="AI205" s="1221"/>
      <c r="AJ205" s="1221"/>
      <c r="AK205" s="1221"/>
    </row>
    <row r="206" spans="2:37" ht="13">
      <c r="B206" s="2"/>
      <c r="C206" s="2"/>
      <c r="D206" s="1"/>
      <c r="G206" s="1221"/>
      <c r="H206" s="1221"/>
      <c r="I206" s="1221"/>
      <c r="J206" s="1221"/>
      <c r="K206" s="1221"/>
      <c r="L206" s="1221"/>
      <c r="M206" s="1221"/>
      <c r="N206" s="1221"/>
      <c r="O206" s="1221"/>
      <c r="P206" s="1221"/>
      <c r="Q206" s="1221"/>
      <c r="R206" s="1221"/>
      <c r="S206" s="1221"/>
      <c r="T206" s="1221"/>
      <c r="U206" s="1221"/>
      <c r="V206" s="1221"/>
      <c r="W206" s="1221"/>
      <c r="X206" s="1221"/>
      <c r="Y206" s="1221"/>
      <c r="Z206" s="1221"/>
      <c r="AA206" s="1221"/>
      <c r="AB206" s="1221"/>
      <c r="AC206" s="1221"/>
      <c r="AD206" s="1221"/>
      <c r="AE206" s="1221"/>
      <c r="AF206" s="1221"/>
      <c r="AG206" s="1221"/>
      <c r="AH206" s="1221"/>
      <c r="AI206" s="1221"/>
      <c r="AJ206" s="1221"/>
      <c r="AK206" s="1221"/>
    </row>
    <row r="207" spans="2:37" ht="13">
      <c r="B207" s="2"/>
      <c r="C207" s="2"/>
      <c r="D207" s="1"/>
      <c r="M207" s="2"/>
      <c r="N207" s="2"/>
      <c r="O207" s="2"/>
      <c r="P207" s="2"/>
      <c r="Q207" s="2"/>
      <c r="R207" s="2"/>
      <c r="S207" s="2"/>
    </row>
    <row r="208" spans="2:37" ht="13">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ht="13">
      <c r="B211" s="2"/>
      <c r="C211" s="2"/>
      <c r="D211" s="1" t="s">
        <v>161</v>
      </c>
      <c r="E211" s="1" t="s">
        <v>162</v>
      </c>
      <c r="F211" s="2"/>
      <c r="G211" s="2"/>
      <c r="I211" s="2"/>
      <c r="J211" s="2"/>
      <c r="M211" s="2"/>
      <c r="N211" s="2"/>
      <c r="O211" s="2"/>
      <c r="P211" s="2"/>
      <c r="Q211" s="2"/>
      <c r="R211" s="2"/>
      <c r="S211" s="2"/>
      <c r="T211" s="2"/>
      <c r="U211" s="2"/>
      <c r="V211" s="2"/>
      <c r="W211" s="2"/>
    </row>
    <row r="212" spans="1:38" ht="13">
      <c r="B212" s="2"/>
      <c r="C212" s="2"/>
      <c r="D212" s="1"/>
      <c r="E212" s="2" t="s">
        <v>144</v>
      </c>
      <c r="F212" s="2"/>
      <c r="G212" s="2"/>
      <c r="I212" s="2"/>
      <c r="J212" s="2"/>
      <c r="M212" s="2"/>
      <c r="N212" s="2"/>
      <c r="O212" s="2"/>
      <c r="P212" s="2"/>
      <c r="Q212" s="2"/>
      <c r="R212" s="2"/>
      <c r="S212" s="2"/>
      <c r="T212" s="2"/>
      <c r="U212" s="2"/>
      <c r="V212" s="2"/>
      <c r="W212" s="2"/>
    </row>
    <row r="213" spans="1:38" ht="13">
      <c r="B213" s="2"/>
      <c r="C213" s="2"/>
      <c r="D213" s="1"/>
      <c r="M213" s="2"/>
      <c r="N213" s="2"/>
      <c r="O213" s="2"/>
      <c r="P213" s="2"/>
      <c r="Q213" s="2"/>
      <c r="R213" s="2"/>
      <c r="S213" s="2"/>
    </row>
    <row r="214" spans="1:38" ht="13">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ht="13">
      <c r="A221" s="4"/>
      <c r="B221" s="9" t="s">
        <v>170</v>
      </c>
      <c r="C221" s="9" t="s">
        <v>171</v>
      </c>
      <c r="D221" s="4"/>
      <c r="E221" s="1107"/>
      <c r="F221" s="1107"/>
      <c r="G221" s="1107"/>
      <c r="H221" s="1107"/>
      <c r="I221" s="1107"/>
      <c r="J221" s="1107"/>
      <c r="K221" s="4"/>
      <c r="L221" s="1107"/>
      <c r="M221" s="1107"/>
      <c r="N221" s="1107"/>
      <c r="O221" s="1107"/>
      <c r="P221" s="1107"/>
      <c r="Q221" s="1107"/>
      <c r="R221" s="1107"/>
      <c r="S221" s="1107"/>
      <c r="T221" s="4"/>
      <c r="U221" s="4"/>
      <c r="V221" s="4"/>
      <c r="W221" s="4"/>
      <c r="X221" s="4"/>
      <c r="Y221" s="4"/>
      <c r="Z221" s="4"/>
      <c r="AA221" s="4"/>
      <c r="AB221" s="4"/>
      <c r="AC221" s="4"/>
      <c r="AD221" s="4"/>
      <c r="AE221" s="4"/>
      <c r="AF221" s="4"/>
      <c r="AG221" s="4"/>
      <c r="AH221" s="4"/>
      <c r="AI221" s="4"/>
      <c r="AJ221" s="4"/>
      <c r="AK221" s="4"/>
      <c r="AL221" s="4"/>
    </row>
    <row r="222" spans="1:38" ht="13">
      <c r="B222" s="1"/>
      <c r="D222" s="1"/>
      <c r="E222" s="2"/>
      <c r="F222" s="2"/>
      <c r="G222" s="2"/>
      <c r="H222" s="2"/>
      <c r="I222" s="2"/>
      <c r="J222" s="2"/>
      <c r="L222" s="2"/>
      <c r="M222" s="2"/>
      <c r="N222" s="2"/>
      <c r="O222" s="2"/>
      <c r="P222" s="2"/>
      <c r="Q222" s="2"/>
      <c r="R222" s="2"/>
      <c r="S222" s="2"/>
    </row>
    <row r="223" spans="1:38" ht="13">
      <c r="B223" s="2"/>
      <c r="C223" s="1" t="s">
        <v>71</v>
      </c>
      <c r="D223" s="2"/>
      <c r="E223" s="2"/>
      <c r="F223" s="2"/>
      <c r="G223" s="1" t="s">
        <v>172</v>
      </c>
      <c r="I223" s="2"/>
      <c r="J223" s="2"/>
      <c r="K223" s="2"/>
      <c r="M223" s="2"/>
      <c r="N223" s="2"/>
      <c r="O223" s="2"/>
      <c r="P223" s="2"/>
      <c r="Q223" s="2"/>
      <c r="R223" s="2"/>
      <c r="S223" s="2"/>
    </row>
    <row r="224" spans="1:38" ht="13">
      <c r="B224" s="1"/>
      <c r="E224" s="2" t="s">
        <v>18</v>
      </c>
      <c r="F224" s="2" t="s">
        <v>173</v>
      </c>
      <c r="G224" s="2"/>
      <c r="I224" s="2"/>
      <c r="J224" s="2"/>
      <c r="K224" s="2"/>
      <c r="L224" s="2"/>
      <c r="M224" s="2"/>
      <c r="N224" s="2"/>
      <c r="O224" s="2"/>
      <c r="P224" s="2"/>
      <c r="Q224" s="2"/>
      <c r="R224" s="2"/>
      <c r="S224" s="2"/>
    </row>
    <row r="225" spans="2:19" ht="13">
      <c r="B225" s="1"/>
      <c r="E225" s="2" t="s">
        <v>31</v>
      </c>
      <c r="F225" s="2" t="s">
        <v>174</v>
      </c>
      <c r="G225" s="2"/>
      <c r="I225" s="2"/>
      <c r="J225" s="2"/>
      <c r="K225" s="2"/>
      <c r="L225" s="2"/>
      <c r="M225" s="2"/>
      <c r="N225" s="2"/>
      <c r="O225" s="2"/>
      <c r="P225" s="2"/>
      <c r="Q225" s="2"/>
      <c r="R225" s="2"/>
      <c r="S225" s="2"/>
    </row>
    <row r="226" spans="2:19" ht="13">
      <c r="B226" s="1"/>
      <c r="E226" s="2"/>
      <c r="F226" s="2"/>
      <c r="G226" s="2"/>
      <c r="H226" s="2"/>
      <c r="I226" s="2"/>
      <c r="J226" s="2"/>
      <c r="K226" s="2"/>
      <c r="L226" s="2"/>
      <c r="M226" s="2"/>
      <c r="N226" s="2"/>
      <c r="O226" s="2"/>
      <c r="P226" s="2"/>
      <c r="Q226" s="2"/>
      <c r="R226" s="2"/>
      <c r="S226" s="2"/>
    </row>
    <row r="227" spans="2:19" ht="13">
      <c r="B227" s="1"/>
      <c r="C227" s="1" t="s">
        <v>89</v>
      </c>
      <c r="D227" s="2"/>
      <c r="E227" s="2"/>
      <c r="F227" s="2"/>
      <c r="G227" s="1" t="s">
        <v>175</v>
      </c>
      <c r="I227" s="2"/>
      <c r="J227" s="2"/>
      <c r="K227" s="2"/>
      <c r="L227" s="2"/>
      <c r="M227" s="2"/>
      <c r="N227" s="2"/>
      <c r="O227" s="2"/>
      <c r="P227" s="2"/>
      <c r="Q227" s="2"/>
      <c r="R227" s="2"/>
      <c r="S227" s="2"/>
    </row>
    <row r="228" spans="2:19" ht="13">
      <c r="B228" s="1"/>
      <c r="E228" s="2" t="s">
        <v>18</v>
      </c>
      <c r="F228" s="2" t="s">
        <v>176</v>
      </c>
      <c r="G228" s="2"/>
      <c r="I228" s="2"/>
      <c r="J228" s="2"/>
      <c r="K228" s="2"/>
      <c r="L228" s="2"/>
      <c r="M228" s="2"/>
      <c r="N228" s="2"/>
      <c r="O228" s="2"/>
      <c r="P228" s="2"/>
      <c r="Q228" s="2"/>
      <c r="R228" s="2"/>
      <c r="S228" s="2"/>
    </row>
    <row r="229" spans="2:19" ht="13">
      <c r="B229" s="1"/>
      <c r="E229" s="2"/>
      <c r="F229" s="2" t="s">
        <v>177</v>
      </c>
      <c r="G229" s="2"/>
      <c r="H229" s="2"/>
      <c r="I229" s="2"/>
      <c r="J229" s="2"/>
      <c r="K229" s="2"/>
      <c r="L229" s="2"/>
      <c r="M229" s="2"/>
      <c r="N229" s="2"/>
      <c r="O229" s="2"/>
      <c r="P229" s="2"/>
      <c r="Q229" s="2"/>
      <c r="R229" s="2"/>
      <c r="S229" s="2"/>
    </row>
    <row r="230" spans="2:19" ht="13">
      <c r="B230" s="1"/>
      <c r="D230" s="2"/>
      <c r="E230" s="2" t="s">
        <v>31</v>
      </c>
      <c r="F230" s="2" t="s">
        <v>174</v>
      </c>
      <c r="G230" s="2"/>
      <c r="I230" s="2"/>
      <c r="J230" s="2"/>
      <c r="K230" s="2"/>
      <c r="L230" s="2"/>
      <c r="M230" s="2"/>
      <c r="N230" s="2"/>
      <c r="O230" s="2"/>
      <c r="P230" s="2"/>
      <c r="Q230" s="2"/>
      <c r="R230" s="2"/>
      <c r="S230" s="2"/>
    </row>
    <row r="231" spans="2:19" ht="13">
      <c r="B231" s="1"/>
      <c r="E231" s="2" t="s">
        <v>39</v>
      </c>
      <c r="F231" s="57" t="s">
        <v>178</v>
      </c>
      <c r="G231" s="2"/>
      <c r="I231" s="2"/>
      <c r="J231" s="2"/>
      <c r="K231" s="2"/>
      <c r="L231" s="2"/>
      <c r="M231" s="2"/>
      <c r="N231" s="2"/>
      <c r="O231" s="2"/>
      <c r="P231" s="2"/>
      <c r="Q231" s="2"/>
      <c r="R231" s="2"/>
      <c r="S231" s="2"/>
    </row>
    <row r="232" spans="2:19" ht="13">
      <c r="B232" s="1"/>
      <c r="D232" s="2"/>
      <c r="E232" s="2"/>
      <c r="F232" s="2"/>
      <c r="G232" s="2"/>
      <c r="H232" s="2"/>
      <c r="I232" s="2"/>
      <c r="J232" s="2"/>
      <c r="K232" s="2"/>
      <c r="L232" s="2"/>
      <c r="M232" s="2"/>
      <c r="N232" s="2"/>
      <c r="O232" s="2"/>
      <c r="P232" s="2"/>
      <c r="Q232" s="2"/>
      <c r="R232" s="2"/>
      <c r="S232" s="2"/>
    </row>
    <row r="233" spans="2:19" ht="13">
      <c r="B233" s="2"/>
      <c r="C233" s="1"/>
      <c r="E233" s="1" t="s">
        <v>179</v>
      </c>
      <c r="F233" s="2"/>
      <c r="J233" s="2"/>
      <c r="K233" s="2"/>
      <c r="M233" s="2"/>
      <c r="N233" s="2"/>
      <c r="O233" s="2"/>
      <c r="P233" s="2"/>
      <c r="Q233" s="2"/>
      <c r="R233" s="2"/>
      <c r="S233" s="2"/>
    </row>
    <row r="234" spans="2:19" ht="13">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ht="13">
      <c r="B237" s="2"/>
      <c r="C237" s="2"/>
      <c r="E237" t="s">
        <v>31</v>
      </c>
      <c r="F237" s="822"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2" t="s">
        <v>185</v>
      </c>
      <c r="I240" s="2"/>
      <c r="M240" s="2"/>
      <c r="N240" s="2"/>
      <c r="O240" s="2"/>
      <c r="P240" s="2"/>
      <c r="Q240" s="2"/>
      <c r="R240" s="2"/>
      <c r="S240" s="2"/>
    </row>
    <row r="241" spans="2:21">
      <c r="B241" s="2"/>
      <c r="C241" s="2"/>
      <c r="E241" t="s">
        <v>39</v>
      </c>
      <c r="F241" s="2" t="s">
        <v>20</v>
      </c>
      <c r="G241" s="822" t="s">
        <v>186</v>
      </c>
      <c r="I241" s="2"/>
      <c r="M241" s="2"/>
      <c r="N241" s="2"/>
      <c r="O241" s="2"/>
      <c r="P241" s="2"/>
      <c r="Q241" s="2"/>
      <c r="R241" s="2"/>
      <c r="S241" s="2"/>
    </row>
    <row r="242" spans="2:21">
      <c r="B242" s="2"/>
      <c r="C242" s="2"/>
      <c r="F242" s="2" t="s">
        <v>24</v>
      </c>
      <c r="G242" s="822" t="s">
        <v>187</v>
      </c>
      <c r="I242" s="2"/>
      <c r="M242" s="2"/>
      <c r="N242" s="2"/>
      <c r="O242" s="2"/>
      <c r="P242" s="2"/>
      <c r="Q242" s="2"/>
      <c r="R242" s="2"/>
      <c r="S242" s="2"/>
    </row>
    <row r="243" spans="2:21">
      <c r="B243" s="2"/>
      <c r="C243" s="2"/>
      <c r="F243" s="2" t="s">
        <v>29</v>
      </c>
      <c r="G243" s="822" t="s">
        <v>188</v>
      </c>
      <c r="I243" s="2"/>
      <c r="M243" s="2"/>
      <c r="N243" s="2"/>
      <c r="O243" s="2"/>
      <c r="P243" s="2"/>
      <c r="Q243" s="2"/>
      <c r="R243" s="2"/>
      <c r="S243" s="2"/>
    </row>
    <row r="244" spans="2:21">
      <c r="B244" s="2"/>
      <c r="C244" s="2"/>
      <c r="F244" s="2"/>
      <c r="G244" s="822" t="s">
        <v>189</v>
      </c>
      <c r="I244" s="2"/>
      <c r="M244" s="2"/>
      <c r="N244" s="2"/>
      <c r="O244" s="2"/>
      <c r="P244" s="2"/>
      <c r="Q244" s="2"/>
      <c r="R244" s="2"/>
      <c r="S244" s="2"/>
    </row>
    <row r="245" spans="2:21" ht="13">
      <c r="B245" s="2"/>
      <c r="C245" s="2"/>
      <c r="D245" s="1"/>
      <c r="E245" s="2" t="s">
        <v>39</v>
      </c>
      <c r="F245" s="2" t="s">
        <v>190</v>
      </c>
      <c r="H245" s="2"/>
      <c r="I245" s="2"/>
      <c r="M245" s="2"/>
      <c r="N245" s="2"/>
      <c r="O245" s="2"/>
      <c r="P245" s="2"/>
      <c r="Q245" s="2"/>
      <c r="R245" s="2"/>
      <c r="S245" s="2"/>
    </row>
    <row r="246" spans="2:21" ht="13">
      <c r="B246" s="2"/>
      <c r="C246" s="2"/>
      <c r="D246" s="1"/>
      <c r="E246" s="1"/>
      <c r="F246" t="s">
        <v>20</v>
      </c>
      <c r="G246" s="2" t="s">
        <v>191</v>
      </c>
      <c r="I246" s="2"/>
      <c r="M246" s="2"/>
      <c r="N246" s="2"/>
      <c r="O246" s="2"/>
      <c r="P246" s="2"/>
      <c r="Q246" s="2"/>
      <c r="R246" s="2"/>
      <c r="S246" s="2"/>
    </row>
    <row r="247" spans="2:21" ht="13">
      <c r="B247" s="2"/>
      <c r="C247" s="2"/>
      <c r="D247" s="1"/>
      <c r="E247" s="1"/>
      <c r="F247" s="2"/>
      <c r="G247" s="2" t="s">
        <v>192</v>
      </c>
      <c r="I247" s="2"/>
      <c r="M247" s="2"/>
      <c r="N247" s="2"/>
      <c r="O247" s="2"/>
      <c r="P247" s="2"/>
      <c r="Q247" s="2"/>
      <c r="R247" s="2"/>
      <c r="S247" s="2"/>
    </row>
    <row r="248" spans="2:21" ht="13">
      <c r="B248" s="2"/>
      <c r="C248" s="2"/>
      <c r="D248" s="1"/>
      <c r="E248" s="1"/>
      <c r="F248" s="2"/>
      <c r="G248" s="2"/>
      <c r="I248" s="2"/>
      <c r="M248" s="2"/>
      <c r="N248" s="2"/>
      <c r="O248" s="2"/>
      <c r="P248" s="2"/>
      <c r="Q248" s="2"/>
      <c r="R248" s="2"/>
      <c r="S248" s="2"/>
    </row>
    <row r="249" spans="2:21" ht="13">
      <c r="B249" s="1"/>
      <c r="C249" s="1" t="s">
        <v>109</v>
      </c>
      <c r="E249" s="2"/>
      <c r="F249" s="2"/>
      <c r="G249" s="1" t="s">
        <v>193</v>
      </c>
      <c r="I249" s="2"/>
      <c r="J249" s="2"/>
      <c r="K249" s="2"/>
      <c r="L249" s="2"/>
      <c r="M249" s="2"/>
      <c r="N249" s="2"/>
      <c r="O249" s="2"/>
      <c r="P249" s="2"/>
      <c r="Q249" s="2"/>
      <c r="R249" s="2"/>
      <c r="S249" s="2"/>
    </row>
    <row r="250" spans="2:21" ht="13">
      <c r="B250" s="1"/>
      <c r="C250" s="1"/>
      <c r="E250" s="2" t="s">
        <v>18</v>
      </c>
      <c r="F250" s="2" t="s">
        <v>194</v>
      </c>
      <c r="G250" s="2"/>
      <c r="I250" s="2"/>
      <c r="J250" s="2"/>
      <c r="K250" s="2"/>
      <c r="L250" s="2"/>
      <c r="M250" s="2"/>
      <c r="N250" s="2"/>
      <c r="O250" s="2"/>
      <c r="P250" s="2"/>
      <c r="Q250" s="2"/>
      <c r="R250" s="2"/>
      <c r="S250" s="2"/>
      <c r="T250" s="2"/>
      <c r="U250" s="2"/>
    </row>
    <row r="251" spans="2:21" ht="13">
      <c r="B251" s="1"/>
      <c r="C251" s="1"/>
      <c r="E251" s="2"/>
      <c r="F251" s="70" t="s">
        <v>195</v>
      </c>
      <c r="G251" s="2"/>
      <c r="I251" s="70"/>
      <c r="J251" s="2"/>
      <c r="K251" s="2"/>
      <c r="L251" s="2"/>
      <c r="M251" s="2"/>
      <c r="N251" s="2"/>
      <c r="O251" s="2"/>
      <c r="P251" s="2"/>
      <c r="Q251" s="2"/>
      <c r="R251" s="2"/>
      <c r="S251" s="2"/>
      <c r="T251" s="2"/>
      <c r="U251" s="2"/>
    </row>
    <row r="252" spans="2:21" ht="13">
      <c r="B252" s="1"/>
      <c r="C252" s="1"/>
      <c r="E252" s="2" t="s">
        <v>31</v>
      </c>
      <c r="F252" s="2" t="s">
        <v>196</v>
      </c>
      <c r="I252" s="2"/>
      <c r="J252" s="2"/>
      <c r="K252" s="2"/>
      <c r="L252" s="2"/>
      <c r="M252" s="2"/>
      <c r="N252" s="2"/>
      <c r="O252" s="2"/>
      <c r="P252" s="2"/>
      <c r="Q252" s="2"/>
      <c r="R252" s="2"/>
      <c r="S252" s="2"/>
      <c r="T252" s="2"/>
      <c r="U252" s="2"/>
    </row>
    <row r="253" spans="2:21" ht="13">
      <c r="B253" s="1"/>
      <c r="C253" s="1"/>
      <c r="E253" s="2"/>
      <c r="F253" s="113" t="s">
        <v>20</v>
      </c>
      <c r="G253" s="113" t="s">
        <v>197</v>
      </c>
      <c r="I253" s="2"/>
      <c r="K253" s="2"/>
      <c r="L253" s="2"/>
      <c r="M253" s="2"/>
      <c r="N253" s="2"/>
      <c r="O253" s="2"/>
      <c r="Q253" s="2"/>
      <c r="R253" s="2"/>
      <c r="S253" s="2"/>
      <c r="T253" s="2"/>
      <c r="U253" s="2"/>
    </row>
    <row r="254" spans="2:21" ht="13">
      <c r="B254" s="1"/>
      <c r="C254" s="1"/>
      <c r="E254" s="2"/>
      <c r="F254" s="113"/>
      <c r="G254" s="113" t="s">
        <v>198</v>
      </c>
      <c r="I254" s="2"/>
      <c r="K254" s="2"/>
      <c r="L254" s="2"/>
      <c r="M254" s="2"/>
      <c r="N254" s="2"/>
      <c r="O254" s="2"/>
      <c r="P254" s="2"/>
    </row>
    <row r="255" spans="2:21" ht="13">
      <c r="B255" s="1"/>
      <c r="C255" s="1"/>
      <c r="E255" s="2"/>
      <c r="F255" s="113" t="s">
        <v>24</v>
      </c>
      <c r="G255" s="113" t="s">
        <v>199</v>
      </c>
      <c r="I255" s="2"/>
      <c r="K255" s="2"/>
      <c r="L255" s="2"/>
      <c r="M255" s="2"/>
      <c r="N255" s="2"/>
      <c r="O255" s="2"/>
      <c r="P255" s="2"/>
    </row>
    <row r="256" spans="2:21" ht="13">
      <c r="B256" s="1"/>
      <c r="C256" s="1"/>
      <c r="E256" s="2"/>
      <c r="F256" s="113"/>
      <c r="G256" s="113" t="s">
        <v>200</v>
      </c>
      <c r="I256" s="2"/>
      <c r="K256" s="2"/>
      <c r="L256" s="2"/>
      <c r="M256" s="2"/>
      <c r="N256" s="2"/>
      <c r="O256" s="2"/>
      <c r="P256" s="2"/>
      <c r="Q256" s="2"/>
      <c r="R256" s="2"/>
      <c r="S256" s="2"/>
      <c r="T256" s="2"/>
      <c r="U256" s="2"/>
    </row>
    <row r="257" spans="2:21" ht="13">
      <c r="B257" s="1"/>
      <c r="C257" s="1"/>
      <c r="E257" s="2"/>
      <c r="G257" s="2"/>
      <c r="I257" s="2"/>
      <c r="K257" s="2"/>
      <c r="L257" s="2"/>
      <c r="M257" s="2"/>
      <c r="N257" s="2"/>
      <c r="O257" s="2"/>
      <c r="P257" s="2"/>
      <c r="Q257" s="2"/>
      <c r="R257" s="2"/>
      <c r="S257" s="2"/>
      <c r="T257" s="2"/>
      <c r="U257" s="2"/>
    </row>
    <row r="258" spans="2:21" ht="13">
      <c r="B258" s="1"/>
      <c r="C258" s="1"/>
      <c r="D258" s="1" t="s">
        <v>3</v>
      </c>
      <c r="E258" s="1" t="s">
        <v>201</v>
      </c>
      <c r="G258" s="2"/>
      <c r="H258" s="2"/>
      <c r="I258" s="2"/>
      <c r="J258" s="2"/>
      <c r="K258" s="2"/>
      <c r="L258" s="2"/>
      <c r="M258" s="2"/>
      <c r="N258" s="2"/>
      <c r="O258" s="2"/>
      <c r="P258" s="2"/>
      <c r="Q258" s="2"/>
      <c r="R258" s="2"/>
      <c r="S258" s="2"/>
    </row>
    <row r="259" spans="2:21" ht="13">
      <c r="B259" s="1"/>
      <c r="C259" s="1"/>
      <c r="E259" s="2" t="s">
        <v>18</v>
      </c>
      <c r="F259" s="2" t="s">
        <v>202</v>
      </c>
      <c r="G259" s="2"/>
      <c r="I259" s="2"/>
      <c r="J259" s="2"/>
      <c r="K259" s="2"/>
      <c r="L259" s="2"/>
      <c r="M259" s="2"/>
      <c r="N259" s="2"/>
      <c r="O259" s="2"/>
      <c r="P259" s="2"/>
      <c r="Q259" s="2"/>
      <c r="R259" s="2"/>
      <c r="S259" s="2"/>
    </row>
    <row r="260" spans="2:21" ht="13">
      <c r="B260" s="1"/>
      <c r="C260" s="1"/>
      <c r="E260" s="2" t="s">
        <v>31</v>
      </c>
      <c r="F260" s="2" t="s">
        <v>203</v>
      </c>
      <c r="G260" s="2"/>
      <c r="I260" s="2"/>
      <c r="J260" s="2"/>
      <c r="K260" s="2"/>
      <c r="L260" s="2"/>
      <c r="M260" s="2"/>
      <c r="N260" s="2"/>
      <c r="O260" s="2"/>
      <c r="P260" s="2"/>
      <c r="Q260" s="2"/>
      <c r="R260" s="2"/>
      <c r="S260" s="2"/>
    </row>
    <row r="261" spans="2:21" ht="13">
      <c r="B261" s="1"/>
      <c r="C261" s="1"/>
      <c r="E261" s="2" t="s">
        <v>39</v>
      </c>
      <c r="F261" s="2" t="s">
        <v>204</v>
      </c>
      <c r="I261" s="2"/>
      <c r="J261" s="2"/>
      <c r="K261" s="2"/>
      <c r="L261" s="2"/>
      <c r="M261" s="2"/>
      <c r="N261" s="2"/>
      <c r="O261" s="2"/>
      <c r="P261" s="2"/>
      <c r="Q261" s="2"/>
      <c r="R261" s="2"/>
      <c r="S261" s="2"/>
    </row>
    <row r="262" spans="2:21" ht="13">
      <c r="B262" s="1"/>
      <c r="C262" s="1"/>
      <c r="E262" s="1"/>
      <c r="F262" s="2" t="s">
        <v>205</v>
      </c>
      <c r="I262" s="2"/>
      <c r="J262" s="2"/>
      <c r="K262" s="2"/>
      <c r="L262" s="2"/>
      <c r="M262" s="2"/>
      <c r="N262" s="2"/>
      <c r="O262" s="2"/>
      <c r="P262" s="2"/>
      <c r="Q262" s="2"/>
      <c r="R262" s="2"/>
      <c r="S262" s="2"/>
    </row>
    <row r="263" spans="2:21" ht="13">
      <c r="B263" s="1"/>
      <c r="C263" s="1"/>
      <c r="E263" s="2" t="s">
        <v>82</v>
      </c>
      <c r="F263" s="113" t="s">
        <v>206</v>
      </c>
      <c r="I263" s="2"/>
      <c r="J263" s="2"/>
      <c r="K263" s="2"/>
      <c r="L263" s="2"/>
      <c r="M263" s="2"/>
      <c r="N263" s="2"/>
      <c r="O263" s="2"/>
      <c r="P263" s="2"/>
      <c r="Q263" s="2"/>
      <c r="R263" s="2"/>
      <c r="S263" s="2"/>
    </row>
    <row r="264" spans="2:21" ht="13">
      <c r="B264" s="1"/>
      <c r="C264" s="1"/>
      <c r="E264" s="1"/>
      <c r="F264" s="2"/>
      <c r="H264" s="2"/>
      <c r="I264" s="2"/>
      <c r="J264" s="2"/>
      <c r="K264" s="2"/>
      <c r="L264" s="2"/>
      <c r="M264" s="2"/>
      <c r="N264" s="2"/>
      <c r="O264" s="2"/>
      <c r="P264" s="2"/>
      <c r="Q264" s="2"/>
      <c r="R264" s="2"/>
      <c r="S264" s="2"/>
    </row>
    <row r="265" spans="2:21" ht="13">
      <c r="B265" s="1"/>
      <c r="C265" s="1"/>
      <c r="D265" s="1" t="s">
        <v>16</v>
      </c>
      <c r="E265" s="1" t="s">
        <v>207</v>
      </c>
      <c r="G265" s="2"/>
      <c r="H265" s="2"/>
      <c r="I265" s="2"/>
      <c r="J265" s="2"/>
      <c r="K265" s="2"/>
      <c r="L265" s="2"/>
      <c r="M265" s="2"/>
      <c r="N265" s="2"/>
      <c r="O265" s="2"/>
      <c r="P265" s="2"/>
      <c r="Q265" s="2"/>
      <c r="R265" s="2"/>
      <c r="S265" s="2"/>
    </row>
    <row r="266" spans="2:21" ht="13">
      <c r="B266" s="1"/>
      <c r="C266" s="1"/>
      <c r="E266" s="2" t="s">
        <v>208</v>
      </c>
      <c r="F266" s="2"/>
      <c r="G266" s="2"/>
      <c r="O266" s="2"/>
      <c r="P266" s="2"/>
      <c r="Q266" s="2"/>
      <c r="R266" s="2"/>
      <c r="S266" s="2"/>
    </row>
    <row r="267" spans="2:21" ht="13">
      <c r="B267" s="1"/>
      <c r="C267" s="1"/>
      <c r="E267" s="1"/>
      <c r="G267" s="2"/>
      <c r="H267" s="2"/>
      <c r="O267" s="2"/>
      <c r="P267" s="2"/>
      <c r="Q267" s="2"/>
      <c r="R267" s="2"/>
      <c r="S267" s="2"/>
    </row>
    <row r="268" spans="2:21" ht="13">
      <c r="B268" s="1"/>
      <c r="C268" s="1"/>
      <c r="D268" s="1" t="s">
        <v>94</v>
      </c>
      <c r="E268" s="1" t="s">
        <v>209</v>
      </c>
      <c r="G268" s="2"/>
    </row>
    <row r="269" spans="2:21" ht="13">
      <c r="B269" s="1"/>
      <c r="C269" s="1"/>
      <c r="E269" s="2" t="s">
        <v>210</v>
      </c>
      <c r="F269" s="2"/>
      <c r="G269" s="2"/>
      <c r="J269" s="2"/>
      <c r="K269" s="2"/>
      <c r="L269" s="2"/>
      <c r="M269" s="2"/>
      <c r="N269" s="2"/>
    </row>
    <row r="270" spans="2:21" ht="13">
      <c r="B270" s="1"/>
      <c r="C270" s="1"/>
      <c r="E270" s="2" t="s">
        <v>211</v>
      </c>
      <c r="F270" s="2"/>
      <c r="G270" s="2"/>
      <c r="J270" s="2"/>
      <c r="K270" s="2"/>
      <c r="L270" s="2"/>
      <c r="M270" s="2"/>
      <c r="N270" s="2"/>
    </row>
    <row r="271" spans="2:21" ht="13">
      <c r="B271" s="1"/>
      <c r="C271" s="1"/>
      <c r="E271" s="1"/>
      <c r="G271" s="2"/>
      <c r="H271" s="2"/>
      <c r="J271" s="2"/>
      <c r="K271" s="2"/>
      <c r="L271" s="2"/>
      <c r="M271" s="2"/>
      <c r="N271" s="2"/>
      <c r="O271" s="2"/>
      <c r="P271" s="2"/>
      <c r="Q271" s="2"/>
      <c r="R271" s="2"/>
      <c r="S271" s="2"/>
      <c r="T271" s="2"/>
      <c r="U271" s="2"/>
    </row>
    <row r="272" spans="2:21" ht="13">
      <c r="B272" s="1"/>
      <c r="D272" s="1" t="s">
        <v>99</v>
      </c>
      <c r="E272" s="1" t="s">
        <v>212</v>
      </c>
      <c r="G272" s="2"/>
      <c r="H272" s="2"/>
      <c r="J272" s="2"/>
      <c r="K272" s="2"/>
      <c r="L272" s="2"/>
      <c r="M272" s="2"/>
      <c r="N272" s="2"/>
      <c r="O272" s="2"/>
      <c r="P272" s="2"/>
      <c r="Q272" s="2"/>
      <c r="R272" s="2"/>
      <c r="S272" s="2"/>
      <c r="T272" s="2"/>
      <c r="U272" s="2"/>
    </row>
    <row r="273" spans="2:23" ht="13">
      <c r="B273" s="1"/>
      <c r="D273" s="2"/>
      <c r="E273" s="2" t="s">
        <v>213</v>
      </c>
      <c r="J273" s="2"/>
      <c r="K273" s="2"/>
      <c r="L273" s="2"/>
      <c r="M273" s="2"/>
      <c r="N273" s="2"/>
      <c r="O273" s="2"/>
      <c r="P273" s="2"/>
      <c r="Q273" s="2"/>
      <c r="R273" s="2"/>
      <c r="S273" s="2"/>
      <c r="T273" s="2"/>
      <c r="U273" s="2"/>
    </row>
    <row r="274" spans="2:23" ht="13">
      <c r="B274" s="1"/>
      <c r="D274" s="2"/>
      <c r="E274" s="2" t="s">
        <v>214</v>
      </c>
      <c r="J274" s="2"/>
      <c r="K274" s="2"/>
      <c r="L274" s="2"/>
      <c r="M274" s="2"/>
      <c r="N274" s="2"/>
      <c r="O274" s="2"/>
      <c r="P274" s="2"/>
      <c r="Q274" s="2"/>
      <c r="R274" s="2"/>
      <c r="S274" s="2"/>
      <c r="T274" s="2"/>
      <c r="U274" s="2"/>
    </row>
    <row r="275" spans="2:23" ht="13">
      <c r="B275" s="1"/>
      <c r="D275" s="2"/>
      <c r="E275" s="2"/>
      <c r="J275" s="2"/>
      <c r="K275" s="2"/>
      <c r="L275" s="2"/>
      <c r="M275" s="2"/>
      <c r="N275" s="2"/>
      <c r="O275" s="2"/>
      <c r="P275" s="2"/>
      <c r="Q275" s="2"/>
      <c r="R275" s="2"/>
      <c r="S275" s="2"/>
      <c r="T275" s="2"/>
      <c r="U275" s="2"/>
    </row>
    <row r="276" spans="2:23" ht="13">
      <c r="B276" s="1"/>
      <c r="D276" s="1" t="s">
        <v>102</v>
      </c>
      <c r="E276" s="1" t="s">
        <v>215</v>
      </c>
      <c r="K276" s="2"/>
      <c r="L276" s="2"/>
      <c r="M276" s="2"/>
      <c r="N276" s="2"/>
      <c r="O276" s="2"/>
      <c r="P276" s="2"/>
      <c r="Q276" s="2"/>
      <c r="R276" s="2"/>
      <c r="S276" s="2"/>
      <c r="T276" s="2"/>
      <c r="U276" s="2"/>
    </row>
    <row r="277" spans="2:23" ht="13">
      <c r="B277" s="1"/>
      <c r="D277" s="1"/>
      <c r="E277" t="s">
        <v>216</v>
      </c>
      <c r="K277" s="2"/>
      <c r="L277" s="2"/>
      <c r="M277" s="2"/>
      <c r="N277" s="2"/>
      <c r="O277" s="2"/>
      <c r="P277" s="2"/>
      <c r="Q277" s="2"/>
      <c r="R277" s="2"/>
      <c r="S277" s="2"/>
    </row>
    <row r="278" spans="2:23" ht="13">
      <c r="B278" s="1"/>
      <c r="D278" s="2"/>
      <c r="E278" s="2" t="s">
        <v>217</v>
      </c>
      <c r="I278" s="2"/>
      <c r="J278" s="2"/>
      <c r="K278" s="2"/>
      <c r="L278" s="2"/>
      <c r="M278" s="2"/>
      <c r="N278" s="2"/>
      <c r="O278" s="2"/>
      <c r="P278" s="2"/>
      <c r="Q278" s="2"/>
      <c r="R278" s="2"/>
      <c r="S278" s="2"/>
    </row>
    <row r="279" spans="2:23" ht="13">
      <c r="B279" s="1"/>
      <c r="D279" s="2"/>
      <c r="E279" s="2"/>
      <c r="I279" s="2"/>
      <c r="J279" s="2"/>
      <c r="K279" s="2"/>
      <c r="L279" s="2"/>
      <c r="M279" s="2"/>
      <c r="N279" s="2"/>
      <c r="O279" s="2"/>
      <c r="P279" s="2"/>
      <c r="Q279" s="2"/>
      <c r="R279" s="2"/>
      <c r="S279" s="2"/>
    </row>
    <row r="280" spans="2:23" ht="13">
      <c r="B280" s="1"/>
      <c r="D280" s="1" t="s">
        <v>106</v>
      </c>
      <c r="E280" s="1" t="s">
        <v>218</v>
      </c>
      <c r="G280" s="2"/>
      <c r="H280" s="2"/>
      <c r="I280" s="2"/>
      <c r="J280" s="2"/>
      <c r="K280" s="2"/>
      <c r="L280" s="2"/>
      <c r="M280" s="2"/>
      <c r="O280" s="2"/>
      <c r="P280" s="2"/>
      <c r="Q280" s="2"/>
      <c r="R280" s="2"/>
      <c r="S280" s="2"/>
    </row>
    <row r="281" spans="2:23" ht="13">
      <c r="B281" s="1"/>
      <c r="D281" s="1"/>
      <c r="E281" t="s">
        <v>219</v>
      </c>
      <c r="G281" s="2"/>
      <c r="H281" s="2"/>
      <c r="I281" s="2"/>
      <c r="J281" s="2"/>
      <c r="K281" s="2"/>
      <c r="L281" s="2"/>
      <c r="M281" s="2"/>
      <c r="P281" s="2"/>
      <c r="Q281" s="2"/>
      <c r="R281" s="2"/>
      <c r="S281" s="2"/>
    </row>
    <row r="282" spans="2:23" ht="13">
      <c r="B282" s="1"/>
      <c r="D282" s="1"/>
      <c r="E282" t="s">
        <v>220</v>
      </c>
      <c r="G282" s="2"/>
      <c r="H282" s="2"/>
      <c r="I282" s="2"/>
      <c r="J282" s="2"/>
      <c r="K282" s="2"/>
      <c r="L282" s="2"/>
      <c r="M282" s="2"/>
      <c r="P282" s="2"/>
      <c r="Q282" s="2"/>
      <c r="R282" s="2"/>
      <c r="S282" s="2"/>
    </row>
    <row r="283" spans="2:23" ht="13">
      <c r="B283" s="1"/>
      <c r="D283" s="1"/>
      <c r="E283" s="70" t="s">
        <v>221</v>
      </c>
      <c r="F283" s="70"/>
      <c r="G283" s="2"/>
      <c r="H283" s="70"/>
      <c r="I283" s="70"/>
      <c r="J283" s="2"/>
      <c r="K283" s="2"/>
      <c r="L283" s="2"/>
      <c r="M283" s="2"/>
      <c r="P283" s="2"/>
      <c r="Q283" s="2"/>
      <c r="R283" s="2"/>
      <c r="S283" s="2"/>
    </row>
    <row r="284" spans="2:23" ht="13">
      <c r="B284" s="1"/>
      <c r="D284" s="1"/>
      <c r="E284" s="309" t="s">
        <v>222</v>
      </c>
      <c r="G284" s="2"/>
      <c r="H284" s="70"/>
      <c r="I284" s="70"/>
      <c r="J284" s="2"/>
      <c r="K284" s="2"/>
      <c r="L284" s="2"/>
      <c r="M284" s="2"/>
      <c r="O284" s="2"/>
      <c r="P284" s="2"/>
      <c r="Q284" s="2"/>
      <c r="R284" s="2"/>
      <c r="S284" s="2"/>
    </row>
    <row r="285" spans="2:23" ht="13">
      <c r="B285" s="1"/>
      <c r="D285" s="1"/>
      <c r="E285" s="2"/>
      <c r="F285" s="2"/>
      <c r="G285" s="2"/>
      <c r="H285" s="2"/>
      <c r="I285" s="2"/>
      <c r="J285" s="2"/>
      <c r="K285" s="2"/>
      <c r="L285" s="2"/>
      <c r="M285" s="2"/>
    </row>
    <row r="286" spans="2:23" ht="13">
      <c r="B286" s="1"/>
      <c r="D286" s="1" t="s">
        <v>127</v>
      </c>
      <c r="E286" s="1" t="s">
        <v>223</v>
      </c>
      <c r="K286" s="2"/>
      <c r="L286" s="2"/>
      <c r="M286" s="2"/>
      <c r="N286" s="2"/>
    </row>
    <row r="287" spans="2:23" ht="13">
      <c r="B287" s="1"/>
      <c r="D287" s="2"/>
      <c r="E287" s="2" t="s">
        <v>18</v>
      </c>
      <c r="F287" s="2" t="s">
        <v>224</v>
      </c>
      <c r="G287" s="2"/>
      <c r="O287" s="2"/>
      <c r="P287" s="2"/>
      <c r="Q287" s="2"/>
      <c r="R287" s="2"/>
      <c r="S287" s="2"/>
      <c r="T287" s="2"/>
      <c r="U287" s="2"/>
      <c r="V287" s="2"/>
      <c r="W287" s="2"/>
    </row>
    <row r="288" spans="2:23" ht="13">
      <c r="B288" s="1"/>
      <c r="D288" s="2"/>
      <c r="E288" s="2"/>
      <c r="F288" s="70" t="s">
        <v>225</v>
      </c>
      <c r="G288" s="70"/>
      <c r="H288" s="70"/>
      <c r="I288" s="70"/>
      <c r="J288" s="70"/>
      <c r="K288" s="70"/>
      <c r="L288" s="70"/>
      <c r="M288" s="70"/>
      <c r="N288" s="70"/>
      <c r="O288" s="2"/>
      <c r="P288" s="2"/>
      <c r="Q288" s="2"/>
      <c r="R288" s="2"/>
      <c r="S288" s="2"/>
      <c r="T288" s="2"/>
      <c r="U288" s="2"/>
      <c r="V288" s="2"/>
      <c r="W288" s="2"/>
    </row>
    <row r="289" spans="2:23" ht="13">
      <c r="B289" s="1"/>
      <c r="D289" s="2"/>
      <c r="E289" s="2" t="s">
        <v>31</v>
      </c>
      <c r="F289" s="2" t="s">
        <v>226</v>
      </c>
      <c r="G289" s="2"/>
      <c r="L289" s="2"/>
      <c r="M289" s="2"/>
      <c r="N289" s="2"/>
      <c r="O289" s="2"/>
      <c r="P289" s="2"/>
      <c r="Q289" s="2"/>
      <c r="R289" s="2"/>
      <c r="S289" s="2"/>
      <c r="T289" s="2"/>
      <c r="U289" s="2"/>
      <c r="V289" s="2"/>
      <c r="W289" s="2"/>
    </row>
    <row r="290" spans="2:23" ht="13">
      <c r="B290" s="1"/>
      <c r="D290" s="2"/>
      <c r="E290" s="2" t="s">
        <v>39</v>
      </c>
      <c r="F290" s="2" t="s">
        <v>227</v>
      </c>
      <c r="G290" s="2"/>
      <c r="H290" s="2"/>
      <c r="K290" s="2"/>
      <c r="L290" s="2"/>
      <c r="M290" s="2"/>
      <c r="N290" s="2"/>
      <c r="O290" s="2"/>
      <c r="P290" s="2"/>
      <c r="Q290" s="2"/>
      <c r="R290" s="2"/>
      <c r="S290" s="2"/>
      <c r="T290" s="2"/>
      <c r="U290" s="2"/>
      <c r="V290" s="2"/>
      <c r="W290" s="2"/>
    </row>
    <row r="291" spans="2:23" ht="13">
      <c r="B291" s="1"/>
      <c r="D291" s="2"/>
      <c r="E291" s="2"/>
      <c r="F291" s="2" t="s">
        <v>20</v>
      </c>
      <c r="G291" s="2" t="s">
        <v>228</v>
      </c>
      <c r="K291" s="2"/>
      <c r="L291" s="2"/>
      <c r="M291" s="2"/>
      <c r="N291" s="2"/>
      <c r="O291" s="2"/>
      <c r="P291" s="2"/>
      <c r="Q291" s="2"/>
      <c r="R291" s="2"/>
      <c r="S291" s="2"/>
      <c r="T291" s="2"/>
      <c r="U291" s="2"/>
      <c r="V291" s="2"/>
      <c r="W291" s="2"/>
    </row>
    <row r="292" spans="2:23" ht="13">
      <c r="B292" s="1"/>
      <c r="D292" s="2"/>
      <c r="E292" s="2"/>
      <c r="F292" s="2" t="s">
        <v>24</v>
      </c>
      <c r="G292" s="2" t="s">
        <v>229</v>
      </c>
      <c r="H292" s="2"/>
      <c r="K292" s="2"/>
      <c r="L292" s="2"/>
      <c r="M292" s="2"/>
      <c r="N292" s="2"/>
      <c r="O292" s="2"/>
      <c r="P292" s="2"/>
      <c r="Q292" s="2"/>
      <c r="R292" s="2"/>
      <c r="S292" s="2"/>
      <c r="T292" s="2"/>
      <c r="U292" s="2"/>
      <c r="V292" s="2"/>
      <c r="W292" s="2"/>
    </row>
    <row r="293" spans="2:23" ht="13">
      <c r="B293" s="1"/>
      <c r="D293" s="2"/>
      <c r="E293" s="2"/>
      <c r="F293" s="2" t="s">
        <v>29</v>
      </c>
      <c r="G293" s="2" t="s">
        <v>230</v>
      </c>
      <c r="K293" s="2"/>
      <c r="L293" s="2"/>
      <c r="M293" s="2"/>
      <c r="N293" s="2"/>
      <c r="O293" s="2"/>
      <c r="P293" s="2"/>
      <c r="Q293" s="2"/>
      <c r="R293" s="2"/>
      <c r="S293" s="2"/>
      <c r="T293" s="2"/>
      <c r="U293" s="2"/>
      <c r="V293" s="2"/>
      <c r="W293" s="2"/>
    </row>
    <row r="294" spans="2:23" ht="13">
      <c r="B294" s="1"/>
      <c r="D294" s="2"/>
      <c r="E294" s="2"/>
      <c r="F294" s="2" t="s">
        <v>57</v>
      </c>
      <c r="G294" s="2" t="s">
        <v>231</v>
      </c>
      <c r="H294" s="2"/>
      <c r="K294" s="2"/>
      <c r="L294" s="2"/>
      <c r="M294" s="2"/>
      <c r="N294" s="2"/>
      <c r="O294" s="2"/>
      <c r="P294" s="2"/>
      <c r="Q294" s="2"/>
      <c r="R294" s="2"/>
      <c r="S294" s="2"/>
      <c r="T294" s="2"/>
      <c r="U294" s="2"/>
      <c r="V294" s="2"/>
      <c r="W294" s="2"/>
    </row>
    <row r="295" spans="2:23" ht="13">
      <c r="B295" s="1"/>
      <c r="D295" s="2"/>
      <c r="E295" s="2"/>
      <c r="F295" s="2" t="s">
        <v>60</v>
      </c>
      <c r="G295" s="2" t="s">
        <v>232</v>
      </c>
      <c r="K295" s="2"/>
      <c r="L295" s="2"/>
      <c r="M295" s="2"/>
      <c r="N295" s="2"/>
      <c r="O295" s="2"/>
      <c r="P295" s="2"/>
      <c r="Q295" s="2"/>
      <c r="R295" s="2"/>
      <c r="S295" s="2"/>
      <c r="T295" s="2"/>
      <c r="U295" s="2"/>
      <c r="V295" s="2"/>
      <c r="W295" s="2"/>
    </row>
    <row r="296" spans="2:23" ht="13">
      <c r="B296" s="1"/>
      <c r="D296" s="2"/>
      <c r="E296" s="2"/>
      <c r="F296" s="2" t="s">
        <v>63</v>
      </c>
      <c r="G296" s="2" t="s">
        <v>233</v>
      </c>
      <c r="H296" s="2"/>
      <c r="K296" s="2"/>
      <c r="L296" s="2"/>
      <c r="M296" s="2"/>
      <c r="N296" s="2"/>
      <c r="O296" s="2"/>
      <c r="P296" s="2"/>
      <c r="Q296" s="2"/>
      <c r="R296" s="2"/>
      <c r="S296" s="2"/>
      <c r="T296" s="2"/>
      <c r="U296" s="2"/>
      <c r="V296" s="2"/>
      <c r="W296" s="2"/>
    </row>
    <row r="297" spans="2:23" ht="13">
      <c r="B297" s="1"/>
      <c r="D297" s="2"/>
      <c r="E297" s="2" t="s">
        <v>82</v>
      </c>
      <c r="F297" s="2" t="s">
        <v>234</v>
      </c>
      <c r="G297" s="2"/>
      <c r="K297" s="2"/>
      <c r="L297" s="2"/>
      <c r="M297" s="2"/>
      <c r="N297" s="2"/>
      <c r="O297" s="2"/>
      <c r="P297" s="2"/>
      <c r="Q297" s="2"/>
      <c r="R297" s="2"/>
      <c r="S297" s="2"/>
      <c r="T297" s="2"/>
      <c r="U297" s="2"/>
      <c r="V297" s="2"/>
      <c r="W297" s="2"/>
    </row>
    <row r="298" spans="2:23" ht="13">
      <c r="B298" s="1"/>
      <c r="D298" s="2"/>
      <c r="E298" s="2" t="s">
        <v>86</v>
      </c>
      <c r="F298" s="2" t="s">
        <v>235</v>
      </c>
      <c r="G298" s="2"/>
      <c r="K298" s="2"/>
      <c r="L298" s="2"/>
      <c r="M298" s="2"/>
      <c r="N298" s="2"/>
      <c r="O298" s="2"/>
      <c r="P298" s="2"/>
      <c r="Q298" s="2"/>
      <c r="R298" s="2"/>
      <c r="S298" s="2"/>
      <c r="T298" s="2"/>
      <c r="U298" s="2"/>
      <c r="V298" s="2"/>
      <c r="W298" s="2"/>
    </row>
    <row r="299" spans="2:23" ht="13">
      <c r="B299" s="1"/>
      <c r="D299" s="2"/>
      <c r="E299" s="2"/>
      <c r="F299" s="70" t="s">
        <v>236</v>
      </c>
      <c r="G299" s="70"/>
      <c r="H299" s="70"/>
      <c r="I299" s="70"/>
      <c r="J299" s="70"/>
      <c r="K299" s="70"/>
      <c r="L299" s="70"/>
      <c r="M299" s="2"/>
      <c r="N299" s="2"/>
      <c r="O299" s="2"/>
      <c r="P299" s="2"/>
      <c r="Q299" s="2"/>
      <c r="R299" s="2"/>
      <c r="S299" s="2"/>
      <c r="T299" s="2"/>
      <c r="U299" s="2"/>
      <c r="V299" s="2"/>
      <c r="W299" s="2"/>
    </row>
    <row r="300" spans="2:23" ht="13">
      <c r="B300" s="1"/>
      <c r="D300" s="2"/>
      <c r="E300" s="2"/>
      <c r="F300" s="70" t="s">
        <v>237</v>
      </c>
      <c r="G300" s="70"/>
      <c r="H300" s="70"/>
      <c r="I300" s="70"/>
      <c r="J300" s="70"/>
      <c r="K300" s="70"/>
      <c r="L300" s="70"/>
      <c r="M300" s="2"/>
      <c r="N300" s="2"/>
      <c r="O300" s="2"/>
      <c r="P300" s="2"/>
      <c r="Q300" s="2"/>
      <c r="R300" s="2"/>
      <c r="S300" s="2"/>
      <c r="T300" s="2"/>
      <c r="U300" s="2"/>
      <c r="V300" s="2"/>
      <c r="W300" s="2"/>
    </row>
    <row r="301" spans="2:23" ht="13">
      <c r="B301" s="1"/>
      <c r="D301" s="2"/>
      <c r="E301" s="2"/>
      <c r="F301" s="70" t="s">
        <v>238</v>
      </c>
      <c r="G301" s="70"/>
      <c r="H301" s="70"/>
      <c r="I301" s="70"/>
      <c r="J301" s="70"/>
      <c r="K301" s="70"/>
      <c r="L301" s="70"/>
      <c r="M301" s="2"/>
      <c r="N301" s="2"/>
      <c r="O301" s="2"/>
      <c r="P301" s="2"/>
      <c r="Q301" s="2"/>
      <c r="R301" s="2"/>
      <c r="S301" s="2"/>
      <c r="T301" s="2"/>
      <c r="U301" s="2"/>
      <c r="V301" s="2"/>
      <c r="W301" s="2"/>
    </row>
    <row r="302" spans="2:23" ht="13">
      <c r="B302" s="1"/>
      <c r="D302" s="2"/>
      <c r="E302" s="2"/>
      <c r="F302" s="70"/>
      <c r="G302" s="70"/>
      <c r="H302" s="70"/>
      <c r="I302" s="70"/>
      <c r="J302" s="70"/>
      <c r="K302" s="70"/>
      <c r="L302" s="70"/>
      <c r="M302" s="2"/>
      <c r="N302" s="2"/>
      <c r="O302" s="2"/>
      <c r="P302" s="2"/>
      <c r="Q302" s="2"/>
      <c r="R302" s="2"/>
      <c r="S302" s="2"/>
      <c r="T302" s="2"/>
      <c r="U302" s="2"/>
      <c r="V302" s="2"/>
      <c r="W302" s="2"/>
    </row>
    <row r="303" spans="2:23" ht="13">
      <c r="B303" s="1"/>
      <c r="D303" s="1" t="s">
        <v>161</v>
      </c>
      <c r="E303" s="1" t="s">
        <v>239</v>
      </c>
      <c r="G303" s="2"/>
      <c r="H303" s="2"/>
      <c r="I303" s="2"/>
      <c r="J303" s="2"/>
      <c r="K303" s="2"/>
      <c r="L303" s="2"/>
      <c r="M303" s="2"/>
      <c r="N303" s="2"/>
      <c r="O303" s="2"/>
      <c r="P303" s="2"/>
      <c r="Q303" s="2"/>
      <c r="R303" s="2"/>
      <c r="S303" s="2"/>
      <c r="T303" s="2"/>
      <c r="U303" s="2"/>
      <c r="V303" s="2"/>
      <c r="W303" s="2"/>
    </row>
    <row r="304" spans="2:23" ht="13">
      <c r="B304" s="1"/>
      <c r="D304" s="1"/>
      <c r="E304" s="2" t="s">
        <v>240</v>
      </c>
      <c r="F304" s="2"/>
      <c r="K304" s="2"/>
      <c r="L304" s="2"/>
      <c r="M304" s="2"/>
      <c r="N304" s="2"/>
      <c r="O304" s="2"/>
      <c r="P304" s="2"/>
      <c r="Q304" s="2"/>
      <c r="R304" s="2"/>
      <c r="S304" s="2"/>
      <c r="T304" s="2"/>
      <c r="U304" s="2"/>
      <c r="V304" s="2"/>
      <c r="W304" s="2"/>
    </row>
    <row r="305" spans="2:23" ht="13">
      <c r="B305" s="1"/>
      <c r="D305" s="1"/>
      <c r="E305" s="2" t="s">
        <v>217</v>
      </c>
      <c r="F305" s="2"/>
      <c r="I305" s="2"/>
      <c r="J305" s="2"/>
      <c r="K305" s="2"/>
      <c r="L305" s="2"/>
      <c r="M305" s="2"/>
      <c r="N305" s="2"/>
      <c r="O305" s="2"/>
      <c r="P305" s="2"/>
      <c r="Q305" s="2"/>
      <c r="R305" s="2"/>
      <c r="S305" s="2"/>
      <c r="T305" s="2"/>
      <c r="U305" s="2"/>
      <c r="V305" s="2"/>
      <c r="W305" s="2"/>
    </row>
    <row r="306" spans="2:23" ht="13">
      <c r="B306" s="1"/>
      <c r="D306" s="2"/>
      <c r="E306" s="2"/>
      <c r="F306" s="70"/>
      <c r="G306" s="70"/>
      <c r="H306" s="70"/>
      <c r="I306" s="70"/>
      <c r="J306" s="70"/>
      <c r="K306" s="70"/>
      <c r="L306" s="70"/>
      <c r="M306" s="2"/>
      <c r="N306" s="2"/>
      <c r="O306" s="2"/>
      <c r="P306" s="2"/>
      <c r="Q306" s="2"/>
      <c r="R306" s="2"/>
      <c r="S306" s="2"/>
      <c r="T306" s="2"/>
      <c r="U306" s="2"/>
      <c r="V306" s="2"/>
      <c r="W306" s="2"/>
    </row>
    <row r="307" spans="2:23" ht="13">
      <c r="B307" s="1"/>
      <c r="C307" s="1" t="s">
        <v>131</v>
      </c>
      <c r="D307" s="1"/>
      <c r="F307" s="1"/>
      <c r="G307" s="1" t="s">
        <v>241</v>
      </c>
      <c r="I307" s="2"/>
      <c r="J307" s="2"/>
      <c r="K307" s="2"/>
      <c r="L307" s="2"/>
      <c r="M307" s="2"/>
      <c r="N307" s="2"/>
      <c r="O307" s="2"/>
      <c r="P307" s="2"/>
    </row>
    <row r="308" spans="2:23" ht="13">
      <c r="B308" s="1"/>
      <c r="D308" s="1" t="s">
        <v>3</v>
      </c>
      <c r="E308" s="1" t="s">
        <v>242</v>
      </c>
      <c r="G308" s="1"/>
      <c r="H308" s="1"/>
      <c r="I308" s="1"/>
      <c r="J308" s="1"/>
      <c r="K308" s="1"/>
      <c r="L308" s="1"/>
      <c r="M308" s="1"/>
      <c r="N308" s="1"/>
      <c r="O308" s="1"/>
      <c r="P308" s="1"/>
      <c r="Q308" s="1"/>
      <c r="R308" s="1"/>
    </row>
    <row r="309" spans="2:23" ht="13">
      <c r="B309" s="1"/>
      <c r="D309" s="1"/>
      <c r="E309" t="s">
        <v>243</v>
      </c>
      <c r="G309" s="2"/>
      <c r="I309" s="2"/>
      <c r="K309" s="2"/>
    </row>
    <row r="310" spans="2:23" ht="13">
      <c r="B310" s="1"/>
      <c r="D310" s="1"/>
      <c r="E310" s="2" t="s">
        <v>244</v>
      </c>
      <c r="F310" s="2"/>
      <c r="G310" s="2"/>
      <c r="I310" s="2"/>
      <c r="K310" s="2"/>
    </row>
    <row r="311" spans="2:23" ht="13">
      <c r="B311" s="1"/>
      <c r="D311" s="1"/>
      <c r="E311" s="2" t="s">
        <v>245</v>
      </c>
      <c r="F311" s="2"/>
      <c r="G311" s="2"/>
      <c r="I311" s="2"/>
      <c r="K311" s="2"/>
    </row>
    <row r="312" spans="2:23" ht="13">
      <c r="B312" s="1"/>
      <c r="D312" s="1"/>
      <c r="E312" s="2" t="s">
        <v>246</v>
      </c>
      <c r="F312" s="2"/>
      <c r="G312" s="2"/>
      <c r="I312" s="2"/>
      <c r="K312" s="2"/>
    </row>
    <row r="313" spans="2:23" ht="13">
      <c r="B313" s="1"/>
      <c r="D313" s="1"/>
      <c r="G313" s="2"/>
      <c r="I313" s="2"/>
      <c r="K313" s="2"/>
    </row>
    <row r="314" spans="2:23" ht="13">
      <c r="B314" s="1"/>
      <c r="D314" s="1" t="s">
        <v>16</v>
      </c>
      <c r="E314" s="1" t="s">
        <v>247</v>
      </c>
      <c r="G314" s="2"/>
      <c r="H314" s="2"/>
      <c r="I314" s="2"/>
      <c r="J314" s="2"/>
      <c r="K314" s="2"/>
      <c r="P314" s="2"/>
      <c r="Q314" s="2"/>
      <c r="R314" s="2"/>
      <c r="S314" s="2"/>
    </row>
    <row r="315" spans="2:23" ht="13">
      <c r="B315" s="1"/>
      <c r="D315" s="1"/>
      <c r="E315" t="s">
        <v>248</v>
      </c>
      <c r="G315" s="2"/>
      <c r="I315" s="2"/>
      <c r="J315" s="2"/>
      <c r="K315" s="2"/>
      <c r="L315" s="2"/>
      <c r="M315" s="2"/>
      <c r="N315" s="2"/>
      <c r="O315" s="2"/>
      <c r="P315" s="2"/>
      <c r="Q315" s="2"/>
      <c r="R315" s="2"/>
      <c r="S315" s="2"/>
    </row>
    <row r="316" spans="2:23" ht="13">
      <c r="B316" s="1"/>
      <c r="D316" s="1"/>
      <c r="G316" s="2"/>
      <c r="I316" s="2"/>
      <c r="J316" s="2"/>
      <c r="K316" s="2"/>
      <c r="L316" s="2"/>
      <c r="M316" s="2"/>
      <c r="N316" s="2"/>
      <c r="O316" s="2"/>
      <c r="P316" s="2"/>
      <c r="Q316" s="2"/>
      <c r="R316" s="2"/>
      <c r="S316" s="2"/>
    </row>
    <row r="317" spans="2:23" ht="13">
      <c r="B317" s="1"/>
      <c r="D317" s="1" t="s">
        <v>94</v>
      </c>
      <c r="E317" s="1" t="s">
        <v>249</v>
      </c>
      <c r="F317" s="2"/>
      <c r="G317" s="2"/>
      <c r="H317" s="2"/>
      <c r="I317" s="2"/>
      <c r="J317" s="2"/>
      <c r="K317" s="2"/>
      <c r="L317" s="2"/>
      <c r="M317" s="2"/>
      <c r="N317" s="2"/>
      <c r="O317" s="2"/>
      <c r="P317" s="2"/>
      <c r="Q317" s="2"/>
      <c r="R317" s="2"/>
      <c r="S317" s="2"/>
    </row>
    <row r="318" spans="2:23" ht="13">
      <c r="B318" s="1"/>
      <c r="E318" t="s">
        <v>250</v>
      </c>
      <c r="I318" s="2"/>
      <c r="J318" s="2"/>
      <c r="K318" s="2"/>
      <c r="L318" s="2"/>
      <c r="M318" s="2"/>
      <c r="N318" s="2"/>
      <c r="O318" s="2"/>
      <c r="P318" s="2"/>
      <c r="Q318" s="2"/>
      <c r="R318" s="2"/>
      <c r="S318" s="2"/>
    </row>
    <row r="319" spans="2:23" ht="13">
      <c r="B319" s="1"/>
      <c r="E319" t="s">
        <v>251</v>
      </c>
      <c r="I319" s="2"/>
      <c r="J319" s="2"/>
      <c r="K319" s="2"/>
      <c r="L319" s="2"/>
      <c r="M319" s="2"/>
      <c r="N319" s="2"/>
      <c r="O319" s="2"/>
      <c r="P319" s="2"/>
      <c r="Q319" s="2"/>
      <c r="R319" s="2"/>
      <c r="S319" s="2"/>
    </row>
    <row r="320" spans="2:23" ht="13">
      <c r="B320" s="1"/>
      <c r="E320" t="s">
        <v>252</v>
      </c>
      <c r="I320" s="2"/>
      <c r="J320" s="2"/>
      <c r="K320" s="2"/>
      <c r="L320" s="2"/>
      <c r="M320" s="2"/>
      <c r="N320" s="2"/>
      <c r="O320" s="2"/>
      <c r="P320" s="2"/>
      <c r="Q320" s="2"/>
      <c r="R320" s="2"/>
      <c r="S320" s="2"/>
    </row>
    <row r="321" spans="1:38" ht="13">
      <c r="B321" s="1"/>
      <c r="I321" s="2"/>
      <c r="J321" s="2"/>
      <c r="K321" s="2"/>
      <c r="L321" s="2"/>
      <c r="M321" s="2"/>
      <c r="N321" s="2"/>
      <c r="O321" s="2"/>
      <c r="P321" s="2"/>
      <c r="Q321" s="2"/>
      <c r="R321" s="2"/>
      <c r="S321" s="2"/>
    </row>
    <row r="322" spans="1:38" ht="13">
      <c r="B322" s="1"/>
      <c r="C322" s="1" t="s">
        <v>134</v>
      </c>
      <c r="G322" s="1" t="s">
        <v>253</v>
      </c>
      <c r="I322" s="2"/>
      <c r="J322" s="2"/>
      <c r="K322" s="2"/>
      <c r="L322" s="2"/>
      <c r="M322" s="2"/>
      <c r="N322" s="2"/>
      <c r="O322" s="2"/>
      <c r="P322" s="2"/>
      <c r="Q322" s="2"/>
      <c r="R322" s="2"/>
      <c r="S322" s="2"/>
    </row>
    <row r="323" spans="1:38" ht="13">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ht="13">
      <c r="F326" s="70" t="s">
        <v>257</v>
      </c>
      <c r="I326" s="70"/>
      <c r="J326" s="2"/>
      <c r="K326" s="2"/>
      <c r="L326" s="2"/>
      <c r="M326" s="2"/>
      <c r="N326" s="2"/>
      <c r="O326" s="2"/>
      <c r="P326" s="2"/>
      <c r="Q326" s="2"/>
      <c r="R326" s="2"/>
      <c r="S326" s="2"/>
    </row>
    <row r="327" spans="1:38" ht="13">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ht="13">
      <c r="A329" s="4"/>
      <c r="B329" s="9" t="s">
        <v>259</v>
      </c>
      <c r="C329" s="9" t="s">
        <v>55</v>
      </c>
      <c r="D329" s="4"/>
      <c r="E329" s="9"/>
      <c r="F329" s="9"/>
      <c r="G329" s="9"/>
      <c r="H329" s="9"/>
      <c r="I329" s="9"/>
      <c r="J329" s="1107"/>
      <c r="K329" s="1107"/>
      <c r="L329" s="1107"/>
      <c r="M329" s="1107"/>
      <c r="N329" s="1107"/>
      <c r="O329" s="1107"/>
      <c r="P329" s="1107"/>
      <c r="Q329" s="1107"/>
      <c r="R329" s="1107"/>
      <c r="S329" s="1107"/>
      <c r="T329" s="4"/>
      <c r="U329" s="4"/>
      <c r="V329" s="4"/>
      <c r="W329" s="4"/>
      <c r="X329" s="4"/>
      <c r="Y329" s="4"/>
      <c r="Z329" s="4"/>
      <c r="AA329" s="4"/>
      <c r="AB329" s="4"/>
      <c r="AC329" s="4"/>
      <c r="AD329" s="4"/>
      <c r="AE329" s="4"/>
      <c r="AF329" s="4"/>
      <c r="AG329" s="4"/>
      <c r="AH329" s="4"/>
      <c r="AI329" s="4"/>
      <c r="AJ329" s="4"/>
      <c r="AK329" s="4"/>
      <c r="AL329" s="4"/>
    </row>
    <row r="330" spans="1:38" ht="13">
      <c r="B330" s="1"/>
      <c r="D330" s="1"/>
      <c r="E330" s="1"/>
      <c r="F330" s="1"/>
      <c r="G330" s="1"/>
      <c r="H330" s="1"/>
      <c r="I330" s="1"/>
      <c r="J330" s="2"/>
      <c r="K330" s="2"/>
      <c r="L330" s="2"/>
      <c r="M330" s="2"/>
      <c r="N330" s="2"/>
      <c r="O330" s="2"/>
      <c r="P330" s="2"/>
      <c r="Q330" s="2"/>
      <c r="R330" s="2"/>
      <c r="S330" s="2"/>
    </row>
    <row r="331" spans="1:38" ht="13">
      <c r="B331" s="1"/>
      <c r="C331" s="1" t="s">
        <v>71</v>
      </c>
      <c r="G331" s="1" t="s">
        <v>55</v>
      </c>
      <c r="I331" s="1"/>
      <c r="J331" s="2"/>
      <c r="K331" s="2"/>
      <c r="L331" s="2"/>
      <c r="M331" s="2"/>
      <c r="N331" s="2"/>
      <c r="O331" s="2"/>
      <c r="P331" s="2"/>
      <c r="Q331" s="2"/>
      <c r="R331" s="2"/>
      <c r="S331" s="2"/>
    </row>
    <row r="332" spans="1:38" ht="13">
      <c r="B332" s="1"/>
      <c r="C332" s="1"/>
      <c r="D332" s="1" t="s">
        <v>3</v>
      </c>
      <c r="E332" s="1" t="s">
        <v>55</v>
      </c>
      <c r="G332" s="1"/>
      <c r="I332" s="1"/>
      <c r="J332" s="2"/>
      <c r="K332" s="2"/>
      <c r="L332" s="2"/>
      <c r="M332" s="2"/>
      <c r="N332" s="2"/>
      <c r="O332" s="2"/>
      <c r="P332" s="2"/>
      <c r="Q332" s="2"/>
      <c r="R332" s="2"/>
      <c r="S332" s="2"/>
    </row>
    <row r="333" spans="1:38" ht="13">
      <c r="B333" s="1"/>
      <c r="E333" t="s">
        <v>18</v>
      </c>
      <c r="F333" t="s">
        <v>260</v>
      </c>
      <c r="J333" s="2"/>
      <c r="K333" s="2"/>
      <c r="L333" s="2"/>
      <c r="M333" s="2"/>
      <c r="N333" s="2"/>
      <c r="O333" s="2"/>
      <c r="P333" s="2"/>
      <c r="Q333" s="2"/>
      <c r="R333" s="2"/>
      <c r="S333" s="2"/>
    </row>
    <row r="334" spans="1:38" ht="13">
      <c r="B334" s="1"/>
      <c r="E334" s="2"/>
      <c r="F334" s="2" t="s">
        <v>261</v>
      </c>
      <c r="J334" s="2"/>
      <c r="K334" s="2"/>
      <c r="L334" s="2"/>
      <c r="M334" s="2"/>
      <c r="N334" s="2"/>
      <c r="O334" s="2"/>
      <c r="P334" s="2"/>
      <c r="Q334" s="2"/>
      <c r="R334" s="2"/>
      <c r="S334" s="2"/>
    </row>
    <row r="335" spans="1:38" ht="13">
      <c r="B335" s="1"/>
      <c r="E335" s="2"/>
      <c r="F335" s="2" t="s">
        <v>262</v>
      </c>
      <c r="I335" s="2"/>
      <c r="J335" s="2"/>
      <c r="K335" s="2"/>
      <c r="L335" s="2"/>
      <c r="M335" s="2"/>
      <c r="N335" s="2"/>
      <c r="O335" s="2"/>
      <c r="P335" s="2"/>
      <c r="Q335" s="2"/>
      <c r="R335" s="2"/>
      <c r="S335" s="2"/>
    </row>
    <row r="336" spans="1:38" ht="13">
      <c r="B336" s="1"/>
      <c r="E336" s="2" t="s">
        <v>31</v>
      </c>
      <c r="F336" s="1221" t="s">
        <v>263</v>
      </c>
      <c r="G336" s="1221"/>
      <c r="H336" s="1221"/>
      <c r="I336" s="1221"/>
      <c r="J336" s="1221"/>
      <c r="K336" s="1221"/>
      <c r="L336" s="1221"/>
      <c r="M336" s="1221"/>
      <c r="N336" s="1221"/>
      <c r="O336" s="1221"/>
      <c r="P336" s="1221"/>
      <c r="Q336" s="1221"/>
      <c r="R336" s="1221"/>
      <c r="S336" s="1221"/>
      <c r="T336" s="1221"/>
      <c r="U336" s="1221"/>
      <c r="V336" s="1221"/>
      <c r="W336" s="1221"/>
      <c r="X336" s="1221"/>
      <c r="Y336" s="1221"/>
      <c r="Z336" s="1221"/>
      <c r="AA336" s="1221"/>
      <c r="AB336" s="1221"/>
      <c r="AC336" s="1221"/>
      <c r="AD336" s="1221"/>
      <c r="AE336" s="1221"/>
      <c r="AF336" s="1221"/>
      <c r="AG336" s="1221"/>
      <c r="AH336" s="1221"/>
      <c r="AI336" s="1221"/>
      <c r="AJ336" s="1221"/>
      <c r="AK336" s="1221"/>
    </row>
    <row r="337" spans="2:37" ht="13">
      <c r="B337" s="1"/>
      <c r="E337" s="2"/>
      <c r="F337" s="1221"/>
      <c r="G337" s="1221"/>
      <c r="H337" s="1221"/>
      <c r="I337" s="1221"/>
      <c r="J337" s="1221"/>
      <c r="K337" s="1221"/>
      <c r="L337" s="1221"/>
      <c r="M337" s="1221"/>
      <c r="N337" s="1221"/>
      <c r="O337" s="1221"/>
      <c r="P337" s="1221"/>
      <c r="Q337" s="1221"/>
      <c r="R337" s="1221"/>
      <c r="S337" s="1221"/>
      <c r="T337" s="1221"/>
      <c r="U337" s="1221"/>
      <c r="V337" s="1221"/>
      <c r="W337" s="1221"/>
      <c r="X337" s="1221"/>
      <c r="Y337" s="1221"/>
      <c r="Z337" s="1221"/>
      <c r="AA337" s="1221"/>
      <c r="AB337" s="1221"/>
      <c r="AC337" s="1221"/>
      <c r="AD337" s="1221"/>
      <c r="AE337" s="1221"/>
      <c r="AF337" s="1221"/>
      <c r="AG337" s="1221"/>
      <c r="AH337" s="1221"/>
      <c r="AI337" s="1221"/>
      <c r="AJ337" s="1221"/>
      <c r="AK337" s="1221"/>
    </row>
    <row r="338" spans="2:37" ht="13">
      <c r="B338" s="1"/>
      <c r="E338" s="2"/>
      <c r="F338" s="1221"/>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ht="13">
      <c r="B339" s="1"/>
      <c r="F339" s="2"/>
      <c r="H339" s="2"/>
      <c r="I339" s="2"/>
      <c r="J339" s="2"/>
      <c r="K339" s="2"/>
      <c r="L339" s="2"/>
      <c r="M339" s="2"/>
      <c r="N339" s="2"/>
      <c r="O339" s="2"/>
      <c r="P339" s="2"/>
      <c r="Q339" s="2"/>
      <c r="R339" s="2"/>
      <c r="S339" s="2"/>
    </row>
    <row r="340" spans="2:37" ht="13">
      <c r="B340" s="1"/>
      <c r="C340" s="1" t="s">
        <v>89</v>
      </c>
      <c r="G340" s="1" t="s">
        <v>264</v>
      </c>
      <c r="I340" s="1"/>
      <c r="J340" s="2"/>
      <c r="K340" s="2"/>
      <c r="L340" s="2"/>
      <c r="M340" s="2"/>
      <c r="N340" s="2"/>
      <c r="O340" s="2"/>
      <c r="P340" s="2"/>
      <c r="Q340" s="2"/>
      <c r="R340" s="2"/>
      <c r="S340" s="2"/>
    </row>
    <row r="341" spans="2:37" ht="13.4" customHeight="1">
      <c r="B341" s="1"/>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ht="13">
      <c r="B342" s="1"/>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ht="13">
      <c r="B343" s="1"/>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ht="13">
      <c r="B344" s="1"/>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ht="13">
      <c r="B345" s="1"/>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ht="13">
      <c r="B346" s="1"/>
      <c r="E346" s="2" t="s">
        <v>18</v>
      </c>
      <c r="F346" s="1221" t="s">
        <v>266</v>
      </c>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ht="13">
      <c r="B347" s="1"/>
      <c r="E347" s="2"/>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ht="13">
      <c r="B348" s="1"/>
      <c r="E348" s="2"/>
      <c r="F348" s="1221"/>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ht="13">
      <c r="B349" s="1"/>
      <c r="E349" s="2"/>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ht="13">
      <c r="B350" s="1"/>
      <c r="E350" s="2" t="s">
        <v>31</v>
      </c>
      <c r="F350" s="1221" t="s">
        <v>267</v>
      </c>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ht="13">
      <c r="B351" s="1"/>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ht="13">
      <c r="B352" s="1"/>
      <c r="F352" s="1221"/>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ht="13">
      <c r="B353" s="1"/>
      <c r="F353" s="2"/>
      <c r="H353" s="2"/>
      <c r="I353" s="2"/>
      <c r="J353" s="2"/>
      <c r="K353" s="2"/>
      <c r="L353" s="2"/>
      <c r="M353" s="2"/>
      <c r="N353" s="2"/>
      <c r="O353" s="2"/>
      <c r="P353" s="2"/>
      <c r="Q353" s="2"/>
      <c r="R353" s="2"/>
      <c r="S353" s="2"/>
    </row>
    <row r="354" spans="1:38" ht="13">
      <c r="A354" s="4"/>
      <c r="B354" s="9" t="s">
        <v>268</v>
      </c>
      <c r="C354" s="9" t="s">
        <v>58</v>
      </c>
      <c r="D354" s="4"/>
      <c r="E354" s="9"/>
      <c r="F354" s="4"/>
      <c r="G354" s="4"/>
      <c r="H354" s="4"/>
      <c r="I354" s="4"/>
      <c r="J354" s="4"/>
      <c r="K354" s="4"/>
      <c r="L354" s="4"/>
      <c r="M354" s="1107"/>
      <c r="N354" s="1107"/>
      <c r="O354" s="1107"/>
      <c r="P354" s="1107"/>
      <c r="Q354" s="1107"/>
      <c r="R354" s="1107"/>
      <c r="S354" s="1107"/>
      <c r="T354" s="1107"/>
      <c r="U354" s="4"/>
      <c r="V354" s="4"/>
      <c r="W354" s="4"/>
      <c r="X354" s="4"/>
      <c r="Y354" s="4"/>
      <c r="Z354" s="4"/>
      <c r="AA354" s="4"/>
      <c r="AB354" s="4"/>
      <c r="AC354" s="4"/>
      <c r="AD354" s="4"/>
      <c r="AE354" s="4"/>
      <c r="AF354" s="4"/>
      <c r="AG354" s="4"/>
      <c r="AH354" s="4"/>
      <c r="AI354" s="4"/>
      <c r="AJ354" s="4"/>
      <c r="AK354" s="4"/>
      <c r="AL354" s="4"/>
    </row>
    <row r="355" spans="1:38" ht="13">
      <c r="B355" s="1"/>
      <c r="D355" s="363"/>
      <c r="E355" s="1"/>
      <c r="M355" s="2"/>
      <c r="N355" s="2"/>
      <c r="O355" s="2"/>
      <c r="P355" s="2"/>
      <c r="Q355" s="2"/>
      <c r="R355" s="2"/>
      <c r="S355" s="2"/>
      <c r="T355" s="2"/>
    </row>
    <row r="356" spans="1:38" ht="13.4"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4" customHeight="1">
      <c r="B357" s="1"/>
      <c r="C357" s="1"/>
      <c r="E357" s="1114"/>
      <c r="F357" s="1114"/>
      <c r="G357" s="1114"/>
      <c r="H357" s="1114"/>
      <c r="I357" s="1114"/>
      <c r="J357" s="1114"/>
      <c r="K357" s="1114"/>
      <c r="L357" s="1114"/>
      <c r="M357" s="1114"/>
      <c r="N357" s="1114"/>
      <c r="O357" s="1114"/>
      <c r="P357" s="1114"/>
      <c r="Q357" s="1114"/>
      <c r="R357" s="1114"/>
      <c r="S357" s="1114"/>
      <c r="T357" s="1114"/>
      <c r="U357" s="1114"/>
      <c r="V357" s="1114"/>
      <c r="W357" s="1114"/>
      <c r="X357" s="1114"/>
      <c r="Y357" s="1114"/>
      <c r="Z357" s="1114"/>
      <c r="AA357" s="1114"/>
      <c r="AB357" s="1114"/>
      <c r="AC357" s="1114"/>
      <c r="AD357" s="1114"/>
      <c r="AE357" s="1114"/>
      <c r="AF357" s="1114"/>
      <c r="AG357" s="1114"/>
      <c r="AH357" s="1114"/>
      <c r="AI357" s="1114"/>
      <c r="AJ357" s="1114"/>
      <c r="AK357" s="1114"/>
    </row>
    <row r="358" spans="1:38" ht="13">
      <c r="B358" s="1"/>
      <c r="D358" s="1" t="s">
        <v>3</v>
      </c>
      <c r="E358" s="1" t="s">
        <v>270</v>
      </c>
      <c r="I358" s="2"/>
      <c r="J358" s="2"/>
      <c r="K358" s="2"/>
      <c r="L358" s="2"/>
      <c r="M358" s="2"/>
      <c r="N358" s="2"/>
      <c r="O358" s="2"/>
      <c r="P358" s="2"/>
      <c r="Q358" s="2"/>
      <c r="R358" s="2"/>
      <c r="S358" s="2"/>
    </row>
    <row r="359" spans="1:38" ht="13">
      <c r="B359" s="1"/>
      <c r="E359" t="s">
        <v>18</v>
      </c>
      <c r="F359" s="2" t="s">
        <v>271</v>
      </c>
      <c r="I359" s="2"/>
      <c r="J359" s="2"/>
      <c r="K359" s="2"/>
      <c r="L359" s="2"/>
      <c r="M359" s="2"/>
      <c r="N359" s="2"/>
      <c r="O359" s="2"/>
      <c r="P359" s="2"/>
      <c r="Q359" s="2"/>
      <c r="R359" s="2"/>
      <c r="S359" s="2"/>
    </row>
    <row r="360" spans="1:38" ht="13">
      <c r="B360" s="1"/>
      <c r="F360" s="2" t="s">
        <v>272</v>
      </c>
      <c r="I360" s="2"/>
      <c r="J360" s="2"/>
      <c r="K360" s="2"/>
      <c r="L360" s="2"/>
      <c r="M360" s="2"/>
      <c r="N360" s="2"/>
      <c r="O360" s="2"/>
      <c r="P360" s="2"/>
      <c r="Q360" s="2"/>
      <c r="R360" s="2"/>
      <c r="S360" s="2"/>
    </row>
    <row r="361" spans="1:38" ht="13">
      <c r="B361" s="1"/>
      <c r="F361" s="2" t="s">
        <v>273</v>
      </c>
      <c r="G361" s="2"/>
      <c r="K361" s="2"/>
      <c r="L361" s="2"/>
      <c r="M361" s="2"/>
      <c r="N361" s="2"/>
      <c r="O361" s="2"/>
      <c r="P361" s="2"/>
      <c r="Q361" s="2"/>
      <c r="R361" s="2"/>
      <c r="S361" s="2"/>
    </row>
    <row r="362" spans="1:38" ht="13">
      <c r="B362" s="1"/>
      <c r="E362" t="s">
        <v>31</v>
      </c>
      <c r="F362" s="2" t="s">
        <v>274</v>
      </c>
      <c r="I362" s="2"/>
      <c r="J362" s="2"/>
      <c r="K362" s="2"/>
      <c r="L362" s="2"/>
      <c r="M362" s="2"/>
      <c r="N362" s="2"/>
      <c r="O362" s="2"/>
      <c r="P362" s="2"/>
      <c r="Q362" s="2"/>
      <c r="R362" s="2"/>
      <c r="S362" s="2"/>
    </row>
    <row r="363" spans="1:38" ht="13">
      <c r="B363" s="1"/>
      <c r="E363" t="s">
        <v>39</v>
      </c>
      <c r="F363" s="2" t="s">
        <v>275</v>
      </c>
      <c r="I363" s="2"/>
      <c r="J363" s="2"/>
      <c r="K363" s="2"/>
      <c r="L363" s="2"/>
      <c r="M363" s="2"/>
      <c r="N363" s="2"/>
      <c r="O363" s="2"/>
      <c r="P363" s="2"/>
      <c r="Q363" s="2"/>
      <c r="R363" s="2"/>
      <c r="S363" s="2"/>
    </row>
    <row r="364" spans="1:38" ht="13">
      <c r="B364" s="1"/>
      <c r="F364" s="2" t="s">
        <v>276</v>
      </c>
      <c r="J364" s="2"/>
      <c r="K364" s="2"/>
      <c r="L364" s="2"/>
      <c r="M364" s="2"/>
      <c r="N364" s="2"/>
      <c r="O364" s="2"/>
      <c r="P364" s="2"/>
      <c r="Q364" s="2"/>
      <c r="R364" s="2"/>
      <c r="S364" s="2"/>
    </row>
    <row r="365" spans="1:38" ht="13">
      <c r="B365" s="1"/>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ht="13">
      <c r="B366" s="1"/>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0" customFormat="1" ht="13">
      <c r="A367"/>
      <c r="B367" s="1"/>
      <c r="C367"/>
      <c r="D367"/>
      <c r="E367" s="1227" t="s">
        <v>278</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s="1230" customFormat="1" ht="13">
      <c r="A368"/>
      <c r="B368" s="1"/>
      <c r="C368" s="1"/>
      <c r="D368"/>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8" ht="13">
      <c r="B369" s="1"/>
      <c r="E369" s="2"/>
      <c r="F369" s="1126"/>
      <c r="G369" s="1126"/>
      <c r="H369" s="1126"/>
      <c r="I369" s="1126"/>
      <c r="J369" s="1126"/>
      <c r="K369" s="1126"/>
      <c r="L369" s="1126"/>
      <c r="M369" s="1126"/>
      <c r="N369" s="1126"/>
      <c r="O369" s="1126"/>
      <c r="P369" s="1126"/>
      <c r="Q369" s="1126"/>
      <c r="R369" s="1126"/>
      <c r="S369" s="1126"/>
      <c r="T369" s="1126"/>
      <c r="U369" s="1126"/>
      <c r="V369" s="1126"/>
      <c r="W369" s="1126"/>
      <c r="X369" s="1126"/>
      <c r="Y369" s="1126"/>
      <c r="Z369" s="1126"/>
      <c r="AA369" s="1126"/>
      <c r="AB369" s="1126"/>
      <c r="AC369" s="1126"/>
      <c r="AD369" s="1126"/>
      <c r="AE369" s="1126"/>
      <c r="AF369" s="1126"/>
      <c r="AG369" s="1126"/>
      <c r="AH369" s="1126"/>
      <c r="AI369" s="1126"/>
      <c r="AJ369" s="1126"/>
      <c r="AK369" s="1126"/>
    </row>
    <row r="370" spans="1:38" ht="13">
      <c r="B370" s="1"/>
      <c r="D370" s="1" t="s">
        <v>16</v>
      </c>
      <c r="E370" s="1" t="s">
        <v>279</v>
      </c>
      <c r="J370" s="2"/>
      <c r="K370" s="2"/>
      <c r="L370" s="2"/>
      <c r="M370" s="2"/>
      <c r="N370" s="2"/>
      <c r="O370" s="2"/>
      <c r="P370" s="2"/>
      <c r="Q370" s="2"/>
      <c r="R370" s="2"/>
      <c r="S370" s="2"/>
    </row>
    <row r="371" spans="1:38" ht="13">
      <c r="B371" s="1"/>
      <c r="E371" s="2" t="s">
        <v>280</v>
      </c>
      <c r="F371" s="2"/>
      <c r="G371" s="2"/>
      <c r="H371" s="2"/>
      <c r="I371" s="2"/>
      <c r="J371" s="2"/>
      <c r="K371" s="2"/>
      <c r="L371" s="2"/>
      <c r="M371" s="2"/>
      <c r="N371" s="2"/>
      <c r="O371" s="2"/>
      <c r="P371" s="2"/>
      <c r="Q371" s="2"/>
      <c r="R371" s="2"/>
      <c r="S371" s="2"/>
    </row>
    <row r="372" spans="1:38" ht="13">
      <c r="B372" s="1"/>
      <c r="E372" s="2" t="s">
        <v>281</v>
      </c>
      <c r="F372" s="2"/>
      <c r="G372" s="2"/>
      <c r="H372" s="2"/>
      <c r="I372" s="2"/>
      <c r="J372" s="2"/>
      <c r="K372" s="2"/>
      <c r="L372" s="2"/>
      <c r="M372" s="2"/>
      <c r="N372" s="2"/>
      <c r="O372" s="2"/>
      <c r="P372" s="2"/>
      <c r="Q372" s="2"/>
      <c r="R372" s="2"/>
      <c r="S372" s="2"/>
    </row>
    <row r="373" spans="1:38" ht="13">
      <c r="B373" s="1"/>
      <c r="E373" s="2"/>
      <c r="F373" s="2"/>
      <c r="G373" s="2"/>
      <c r="H373" s="2"/>
      <c r="I373" s="2"/>
      <c r="J373" s="2"/>
      <c r="K373" s="2"/>
      <c r="L373" s="2"/>
      <c r="M373" s="2"/>
      <c r="N373" s="2"/>
      <c r="O373" s="2"/>
      <c r="P373" s="2"/>
      <c r="Q373" s="2"/>
      <c r="R373" s="2"/>
      <c r="S373" s="2"/>
    </row>
    <row r="374" spans="1:38" ht="13">
      <c r="B374" s="1"/>
      <c r="D374" s="1" t="s">
        <v>94</v>
      </c>
      <c r="E374" s="1" t="s">
        <v>282</v>
      </c>
      <c r="J374" s="2"/>
      <c r="K374" s="2"/>
      <c r="L374" s="2"/>
      <c r="M374" s="2"/>
      <c r="N374" s="2"/>
      <c r="O374" s="2"/>
      <c r="P374" s="2"/>
      <c r="Q374" s="2"/>
      <c r="R374" s="2"/>
      <c r="S374" s="2"/>
    </row>
    <row r="375" spans="1:38" ht="13">
      <c r="B375" s="1"/>
      <c r="E375" s="2" t="s">
        <v>18</v>
      </c>
      <c r="F375" s="2" t="s">
        <v>283</v>
      </c>
      <c r="G375" s="2"/>
      <c r="I375" s="2"/>
      <c r="J375" s="2"/>
      <c r="K375" s="2"/>
      <c r="L375" s="2"/>
      <c r="M375" s="2"/>
      <c r="N375" s="2"/>
      <c r="O375" s="2"/>
      <c r="P375" s="2"/>
      <c r="Q375" s="2"/>
      <c r="R375" s="2"/>
      <c r="S375" s="2"/>
    </row>
    <row r="376" spans="1:38" ht="13">
      <c r="B376" s="1"/>
      <c r="E376" s="2"/>
      <c r="F376" s="70" t="s">
        <v>284</v>
      </c>
      <c r="G376" s="2"/>
      <c r="I376" s="70"/>
      <c r="J376" s="2"/>
      <c r="K376" s="2"/>
      <c r="L376" s="2"/>
      <c r="M376" s="2"/>
      <c r="N376" s="2"/>
      <c r="O376" s="2"/>
      <c r="P376" s="2"/>
      <c r="Q376" s="2"/>
      <c r="R376" s="2"/>
      <c r="S376" s="2"/>
    </row>
    <row r="377" spans="1:38" ht="13">
      <c r="B377" s="1"/>
      <c r="E377" s="2" t="s">
        <v>31</v>
      </c>
      <c r="F377" s="2" t="s">
        <v>285</v>
      </c>
      <c r="G377" s="2"/>
      <c r="I377" s="70"/>
      <c r="J377" s="2"/>
      <c r="K377" s="2"/>
      <c r="L377" s="2"/>
      <c r="M377" s="2"/>
      <c r="N377" s="2"/>
      <c r="O377" s="2"/>
      <c r="P377" s="2"/>
      <c r="Q377" s="2"/>
      <c r="R377" s="2"/>
      <c r="S377" s="2"/>
    </row>
    <row r="378" spans="1:38" ht="13">
      <c r="B378" s="1"/>
      <c r="E378" s="2"/>
      <c r="F378" s="2"/>
      <c r="G378" s="2"/>
      <c r="I378" s="70"/>
      <c r="J378" s="2"/>
      <c r="K378" s="2"/>
      <c r="L378" s="2"/>
      <c r="M378" s="2"/>
      <c r="N378" s="2"/>
      <c r="O378" s="2"/>
      <c r="P378" s="2"/>
      <c r="Q378" s="2"/>
      <c r="R378" s="2"/>
      <c r="S378" s="2"/>
    </row>
    <row r="379" spans="1:38" ht="13">
      <c r="B379" s="1"/>
      <c r="D379" s="1" t="s">
        <v>99</v>
      </c>
      <c r="E379" s="1" t="s">
        <v>286</v>
      </c>
      <c r="J379" s="2"/>
      <c r="K379" s="2"/>
      <c r="L379" s="2"/>
      <c r="M379" s="2"/>
      <c r="N379" s="2"/>
      <c r="O379" s="2"/>
      <c r="P379" s="2"/>
      <c r="Q379" s="2"/>
      <c r="R379" s="2"/>
      <c r="S379" s="2"/>
    </row>
    <row r="380" spans="1:38" ht="13">
      <c r="B380" s="1"/>
      <c r="D380" s="1"/>
      <c r="E380" s="2" t="s">
        <v>280</v>
      </c>
      <c r="F380" s="2"/>
      <c r="G380" s="2"/>
      <c r="J380" s="2"/>
      <c r="K380" s="2"/>
      <c r="L380" s="2"/>
      <c r="M380" s="2"/>
      <c r="N380" s="2"/>
      <c r="O380" s="2"/>
      <c r="P380" s="2"/>
      <c r="Q380" s="2"/>
      <c r="R380" s="2"/>
      <c r="S380" s="2"/>
    </row>
    <row r="381" spans="1:38" ht="13">
      <c r="B381" s="1"/>
      <c r="D381" s="1"/>
      <c r="E381" s="2" t="s">
        <v>287</v>
      </c>
      <c r="F381" s="2"/>
      <c r="G381" s="2"/>
      <c r="J381" s="2"/>
      <c r="K381" s="2"/>
      <c r="L381" s="2"/>
      <c r="M381" s="2"/>
      <c r="N381" s="2"/>
      <c r="O381" s="2"/>
      <c r="P381" s="2"/>
      <c r="Q381" s="2"/>
      <c r="R381" s="2"/>
      <c r="S381" s="2"/>
    </row>
    <row r="382" spans="1:38" ht="13">
      <c r="B382" s="1"/>
      <c r="D382" s="1"/>
      <c r="E382" s="2"/>
      <c r="F382" s="2"/>
      <c r="G382" s="2"/>
      <c r="J382" s="2"/>
      <c r="K382" s="2"/>
      <c r="L382" s="2"/>
      <c r="M382" s="2"/>
      <c r="N382" s="2"/>
      <c r="O382" s="2"/>
      <c r="P382" s="2"/>
      <c r="Q382" s="2"/>
      <c r="R382" s="2"/>
      <c r="S382" s="2"/>
    </row>
    <row r="383" spans="1:38" s="96" customFormat="1" ht="13">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ht="13">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ht="13">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ht="13">
      <c r="B386" s="1"/>
      <c r="E386" s="2" t="s">
        <v>31</v>
      </c>
      <c r="F386" s="1221" t="s">
        <v>290</v>
      </c>
      <c r="G386" s="1221"/>
      <c r="H386" s="1221"/>
      <c r="I386" s="1221"/>
      <c r="J386" s="1221"/>
      <c r="K386" s="1221"/>
      <c r="L386" s="1221"/>
      <c r="M386" s="1221"/>
      <c r="N386" s="1221"/>
      <c r="O386" s="1221"/>
      <c r="P386" s="1221"/>
      <c r="Q386" s="1221"/>
      <c r="R386" s="1221"/>
      <c r="S386" s="1221"/>
      <c r="T386" s="1221"/>
      <c r="U386" s="1221"/>
      <c r="V386" s="1221"/>
      <c r="W386" s="1221"/>
      <c r="X386" s="1221"/>
      <c r="Y386" s="1221"/>
      <c r="Z386" s="1221"/>
      <c r="AA386" s="1221"/>
      <c r="AB386" s="1221"/>
      <c r="AC386" s="1221"/>
      <c r="AD386" s="1221"/>
      <c r="AE386" s="1221"/>
      <c r="AF386" s="1221"/>
      <c r="AG386" s="1221"/>
      <c r="AH386" s="1221"/>
      <c r="AI386" s="1221"/>
      <c r="AJ386" s="1221"/>
      <c r="AK386" s="1221"/>
    </row>
    <row r="387" spans="1:38" ht="13">
      <c r="B387" s="1"/>
      <c r="E387" s="2"/>
      <c r="F387" s="1221"/>
      <c r="G387" s="1221"/>
      <c r="H387" s="1221"/>
      <c r="I387" s="1221"/>
      <c r="J387" s="1221"/>
      <c r="K387" s="1221"/>
      <c r="L387" s="1221"/>
      <c r="M387" s="1221"/>
      <c r="N387" s="1221"/>
      <c r="O387" s="1221"/>
      <c r="P387" s="1221"/>
      <c r="Q387" s="1221"/>
      <c r="R387" s="1221"/>
      <c r="S387" s="1221"/>
      <c r="T387" s="1221"/>
      <c r="U387" s="1221"/>
      <c r="V387" s="1221"/>
      <c r="W387" s="1221"/>
      <c r="X387" s="1221"/>
      <c r="Y387" s="1221"/>
      <c r="Z387" s="1221"/>
      <c r="AA387" s="1221"/>
      <c r="AB387" s="1221"/>
      <c r="AC387" s="1221"/>
      <c r="AD387" s="1221"/>
      <c r="AE387" s="1221"/>
      <c r="AF387" s="1221"/>
      <c r="AG387" s="1221"/>
      <c r="AH387" s="1221"/>
      <c r="AI387" s="1221"/>
      <c r="AJ387" s="1221"/>
      <c r="AK387" s="1221"/>
    </row>
    <row r="388" spans="1:38" ht="13">
      <c r="B388" s="1"/>
      <c r="E388" s="2"/>
      <c r="F388" s="1221"/>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ht="13">
      <c r="B389" s="1"/>
      <c r="E389" s="2"/>
      <c r="F389" s="1112"/>
      <c r="G389" s="1112"/>
      <c r="H389" s="1112"/>
      <c r="I389" s="1112"/>
      <c r="J389" s="1112"/>
      <c r="K389" s="1112"/>
      <c r="L389" s="1112"/>
      <c r="M389" s="1112"/>
      <c r="N389" s="1112"/>
      <c r="O389" s="1112"/>
      <c r="P389" s="1112"/>
      <c r="Q389" s="1112"/>
      <c r="R389" s="1112"/>
      <c r="S389" s="1112"/>
      <c r="T389" s="1112"/>
      <c r="U389" s="1112"/>
      <c r="V389" s="1112"/>
      <c r="W389" s="1112"/>
      <c r="X389" s="1112"/>
      <c r="Y389" s="1112"/>
      <c r="Z389" s="1112"/>
      <c r="AA389" s="1112"/>
      <c r="AB389" s="1112"/>
      <c r="AC389" s="1112"/>
      <c r="AD389" s="1112"/>
      <c r="AE389" s="1112"/>
      <c r="AF389" s="1112"/>
      <c r="AG389" s="1112"/>
      <c r="AH389" s="1112"/>
      <c r="AI389" s="1112"/>
      <c r="AJ389" s="1112"/>
      <c r="AK389" s="1112"/>
      <c r="AL389" s="1114"/>
    </row>
    <row r="390" spans="1:38" ht="13">
      <c r="B390" s="1"/>
      <c r="C390" s="1"/>
      <c r="D390" s="1" t="s">
        <v>106</v>
      </c>
      <c r="E390" s="1" t="s">
        <v>291</v>
      </c>
      <c r="F390" s="2"/>
      <c r="G390" s="1"/>
      <c r="I390" s="70"/>
      <c r="J390" s="2"/>
      <c r="K390" s="2"/>
      <c r="L390" s="2"/>
      <c r="M390" s="2"/>
      <c r="N390" s="2"/>
      <c r="O390" s="2"/>
      <c r="P390" s="2"/>
      <c r="Q390" s="2"/>
      <c r="R390" s="2"/>
      <c r="S390" s="2"/>
    </row>
    <row r="391" spans="1:38" ht="13.4" customHeight="1">
      <c r="B391" s="1"/>
      <c r="D391" s="1"/>
      <c r="E391" s="2" t="s">
        <v>292</v>
      </c>
      <c r="F391" s="1126"/>
      <c r="G391" s="1126"/>
      <c r="H391" s="1126"/>
      <c r="I391" s="1126"/>
      <c r="J391" s="1126"/>
      <c r="K391" s="1126"/>
      <c r="L391" s="1126"/>
      <c r="M391" s="1126"/>
      <c r="N391" s="1126"/>
      <c r="O391" s="1126"/>
      <c r="P391" s="1126"/>
      <c r="Q391" s="1126"/>
      <c r="R391" s="1126"/>
      <c r="S391" s="1126"/>
      <c r="T391" s="1126"/>
      <c r="U391" s="1126"/>
      <c r="V391" s="1126"/>
      <c r="W391" s="1126"/>
      <c r="X391" s="1126"/>
      <c r="Y391" s="1126"/>
      <c r="Z391" s="1126"/>
      <c r="AA391" s="1126"/>
      <c r="AB391" s="1126"/>
      <c r="AC391" s="1126"/>
      <c r="AD391" s="1126"/>
      <c r="AE391" s="1126"/>
      <c r="AF391" s="1126"/>
      <c r="AG391" s="1126"/>
      <c r="AH391" s="1126"/>
      <c r="AI391" s="1126"/>
      <c r="AJ391" s="1126"/>
      <c r="AK391" s="1126"/>
    </row>
    <row r="392" spans="1:38" ht="13">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ht="13">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t="13"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t="13" hidden="1">
      <c r="B395" s="1"/>
      <c r="S395" s="2"/>
    </row>
    <row r="396" spans="1:38" ht="13" hidden="1">
      <c r="B396" s="1"/>
      <c r="S396" s="2"/>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D406" s="1"/>
      <c r="E406" s="2"/>
      <c r="F406" s="2"/>
      <c r="G406" s="2"/>
      <c r="H406" s="2"/>
      <c r="I406" s="2"/>
      <c r="J406" s="2"/>
      <c r="K406" s="2"/>
      <c r="L406" s="2"/>
      <c r="M406" s="2"/>
      <c r="N406" s="2"/>
      <c r="O406" s="2"/>
      <c r="P406" s="2"/>
      <c r="Q406" s="2"/>
      <c r="R406" s="2"/>
      <c r="S406" s="2"/>
    </row>
    <row r="407" spans="2:19" ht="13"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t="13" hidden="1">
      <c r="B419" s="1"/>
      <c r="D419" s="1"/>
      <c r="E419" s="2"/>
      <c r="F419" s="2"/>
      <c r="G419" s="2"/>
      <c r="H419" s="2"/>
      <c r="I419" s="2"/>
      <c r="J419" s="2"/>
      <c r="K419" s="2"/>
      <c r="L419" s="2"/>
      <c r="M419" s="2"/>
      <c r="N419" s="2"/>
      <c r="O419" s="2"/>
      <c r="P419" s="2"/>
      <c r="Q419" s="2"/>
      <c r="R419" s="2"/>
      <c r="S419" s="2"/>
    </row>
    <row r="420" spans="2:19" ht="13" hidden="1">
      <c r="B420" s="1"/>
      <c r="C420" s="1"/>
      <c r="D420" s="1"/>
      <c r="E420" s="2"/>
      <c r="F420" s="2"/>
      <c r="G420" s="2"/>
      <c r="H420" s="2"/>
      <c r="I420" s="2"/>
      <c r="J420" s="2"/>
      <c r="K420" s="2"/>
      <c r="L420" s="2"/>
      <c r="M420" s="2"/>
      <c r="N420" s="2"/>
      <c r="O420" s="2"/>
      <c r="P420" s="2"/>
      <c r="Q420" s="2"/>
      <c r="R420" s="2"/>
      <c r="S420" s="2"/>
    </row>
    <row r="421" spans="2:19" ht="13"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2" zoomScale="125" workbookViewId="0">
      <selection activeCell="O22" sqref="O22"/>
    </sheetView>
  </sheetViews>
  <sheetFormatPr defaultColWidth="9.1796875" defaultRowHeight="14"/>
  <cols>
    <col min="1" max="1" width="2.453125" style="828" customWidth="1"/>
    <col min="2" max="9" width="14.7265625" style="828" customWidth="1"/>
    <col min="10" max="10" width="2.26953125" style="828" customWidth="1"/>
    <col min="11" max="11" width="11.81640625" style="829" customWidth="1"/>
    <col min="12" max="12" width="10.7265625" style="828" customWidth="1"/>
    <col min="13" max="13" width="10.453125" style="828" customWidth="1"/>
    <col min="14" max="14" width="10.81640625" style="828" customWidth="1"/>
    <col min="15" max="18" width="9.1796875" style="828"/>
    <col min="19" max="19" width="9.453125" style="828" bestFit="1" customWidth="1"/>
    <col min="20" max="16384" width="9.1796875" style="828"/>
  </cols>
  <sheetData>
    <row r="1" spans="1:13" ht="30" customHeight="1">
      <c r="A1" s="2599" t="s">
        <v>2576</v>
      </c>
      <c r="B1" s="2599"/>
      <c r="C1" s="2599"/>
      <c r="D1" s="2599"/>
      <c r="E1" s="2599"/>
      <c r="F1" s="2599"/>
      <c r="G1" s="2599"/>
      <c r="H1" s="2599"/>
      <c r="I1" s="2599"/>
      <c r="J1" s="2599"/>
    </row>
    <row r="2" spans="1:13" ht="15" customHeight="1" thickBot="1">
      <c r="A2" s="830"/>
      <c r="B2" s="830"/>
      <c r="I2" s="831"/>
      <c r="K2" s="832"/>
    </row>
    <row r="3" spans="1:13" s="835" customFormat="1" ht="20.149999999999999" customHeight="1">
      <c r="A3" s="884"/>
      <c r="B3" s="885"/>
      <c r="C3" s="886"/>
      <c r="D3" s="891"/>
      <c r="E3" s="886"/>
      <c r="F3" s="887" t="s">
        <v>2577</v>
      </c>
      <c r="G3" s="886"/>
      <c r="H3" s="888">
        <f>E18</f>
        <v>20364912</v>
      </c>
      <c r="I3" s="889"/>
    </row>
    <row r="4" spans="1:13" s="835" customFormat="1" ht="20.149999999999999" customHeight="1">
      <c r="B4" s="878"/>
      <c r="D4" s="892"/>
      <c r="F4" s="876" t="s">
        <v>2578</v>
      </c>
      <c r="G4" s="875" t="s">
        <v>2579</v>
      </c>
      <c r="H4" s="877">
        <f>I18</f>
        <v>18452930.5</v>
      </c>
      <c r="I4" s="879"/>
      <c r="K4" s="839"/>
    </row>
    <row r="5" spans="1:13" s="835" customFormat="1" ht="20.149999999999999" customHeight="1" thickBot="1">
      <c r="B5" s="880"/>
      <c r="C5" s="881"/>
      <c r="D5" s="893"/>
      <c r="E5" s="882"/>
      <c r="F5" s="893" t="s">
        <v>2580</v>
      </c>
      <c r="G5" s="894"/>
      <c r="H5" s="890">
        <f>IFERROR(H3/H4,0)</f>
        <v>1.1036139761107322</v>
      </c>
      <c r="I5" s="883"/>
      <c r="K5" s="839"/>
    </row>
    <row r="6" spans="1:13" s="835" customFormat="1" ht="15" customHeight="1">
      <c r="B6" s="836"/>
      <c r="C6" s="837"/>
      <c r="F6" s="838"/>
      <c r="K6" s="839"/>
    </row>
    <row r="7" spans="1:13" s="835" customFormat="1" ht="15" customHeight="1">
      <c r="E7" s="840"/>
      <c r="F7" s="838"/>
      <c r="K7" s="841"/>
    </row>
    <row r="8" spans="1:13" s="835" customFormat="1" ht="15" customHeight="1">
      <c r="A8" s="842"/>
      <c r="B8" s="2602" t="s">
        <v>2581</v>
      </c>
      <c r="C8" s="2603"/>
      <c r="D8" s="2603"/>
      <c r="E8" s="2604"/>
      <c r="G8" s="2579" t="s">
        <v>2582</v>
      </c>
      <c r="H8" s="2580"/>
      <c r="I8" s="2581"/>
      <c r="K8" s="841"/>
    </row>
    <row r="9" spans="1:13" ht="15" customHeight="1">
      <c r="A9" s="830"/>
      <c r="B9" s="2600" t="s">
        <v>2583</v>
      </c>
      <c r="C9" s="2600"/>
      <c r="D9" s="2600"/>
      <c r="E9" s="843">
        <f>G33</f>
        <v>3362500</v>
      </c>
      <c r="G9" s="2592" t="s">
        <v>2584</v>
      </c>
      <c r="H9" s="2592"/>
      <c r="I9" s="844">
        <f>Application!AM554</f>
        <v>21709330</v>
      </c>
      <c r="K9" s="845"/>
      <c r="M9" s="846"/>
    </row>
    <row r="10" spans="1:13" ht="15" customHeight="1" thickBot="1">
      <c r="A10" s="830"/>
      <c r="B10" s="2600" t="s">
        <v>2585</v>
      </c>
      <c r="C10" s="2600"/>
      <c r="D10" s="2600"/>
      <c r="E10" s="844">
        <f>G47</f>
        <v>14888412.000000002</v>
      </c>
      <c r="G10" s="2606" t="s">
        <v>2586</v>
      </c>
      <c r="H10" s="2606"/>
      <c r="I10" s="923">
        <f>'Basis &amp; Credits'!AB78</f>
        <v>0</v>
      </c>
      <c r="M10" s="846"/>
    </row>
    <row r="11" spans="1:13" ht="15" customHeight="1">
      <c r="A11" s="830"/>
      <c r="B11" s="2593" t="s">
        <v>2587</v>
      </c>
      <c r="C11" s="2594"/>
      <c r="D11" s="2595"/>
      <c r="E11" s="844">
        <f>SUM(E12,E13)</f>
        <v>500000</v>
      </c>
      <c r="G11" s="2591" t="s">
        <v>2588</v>
      </c>
      <c r="H11" s="2591"/>
      <c r="I11" s="922">
        <f>I9+I10</f>
        <v>21709330</v>
      </c>
      <c r="M11" s="846"/>
    </row>
    <row r="12" spans="1:13" ht="15" customHeight="1">
      <c r="A12" s="847"/>
      <c r="B12" s="2601" t="s">
        <v>2589</v>
      </c>
      <c r="C12" s="2601"/>
      <c r="D12" s="2601"/>
      <c r="E12" s="947">
        <f>G56</f>
        <v>0</v>
      </c>
      <c r="M12" s="846"/>
    </row>
    <row r="13" spans="1:13" ht="15" customHeight="1">
      <c r="A13" s="833"/>
      <c r="B13" s="2601" t="s">
        <v>2590</v>
      </c>
      <c r="C13" s="2601"/>
      <c r="D13" s="2601"/>
      <c r="E13" s="947">
        <f>G65</f>
        <v>500000</v>
      </c>
      <c r="G13" s="2579" t="s">
        <v>2591</v>
      </c>
      <c r="H13" s="2580"/>
      <c r="I13" s="2581"/>
      <c r="M13" s="846"/>
    </row>
    <row r="14" spans="1:13" ht="15" customHeight="1">
      <c r="A14" s="833"/>
      <c r="B14" s="2593" t="s">
        <v>2592</v>
      </c>
      <c r="C14" s="2594"/>
      <c r="D14" s="2595"/>
      <c r="E14" s="949">
        <f>MAX(E15,E16)+E17</f>
        <v>1614000</v>
      </c>
      <c r="G14" s="2592" t="s">
        <v>1773</v>
      </c>
      <c r="H14" s="2592"/>
      <c r="I14" s="848">
        <f>15%*(AND(G120="Yes",G122&lt;&gt;""))</f>
        <v>0.15</v>
      </c>
      <c r="M14" s="846"/>
    </row>
    <row r="15" spans="1:13" ht="15" customHeight="1">
      <c r="A15" s="833"/>
      <c r="B15" s="2576" t="s">
        <v>2593</v>
      </c>
      <c r="C15" s="2577"/>
      <c r="D15" s="2578"/>
      <c r="E15" s="947">
        <f>G80</f>
        <v>0</v>
      </c>
      <c r="G15" s="1220" t="s">
        <v>1896</v>
      </c>
      <c r="H15" s="1220"/>
      <c r="I15" s="848">
        <f>IF(Application!AJ1032&gt;0,10%,IF(Application!AJ1036&gt;0,5%,0))</f>
        <v>0</v>
      </c>
      <c r="M15" s="846"/>
    </row>
    <row r="16" spans="1:13" ht="15" customHeight="1">
      <c r="A16" s="833"/>
      <c r="B16" s="2576" t="s">
        <v>2594</v>
      </c>
      <c r="C16" s="2577"/>
      <c r="D16" s="2578"/>
      <c r="E16" s="947">
        <f>G90</f>
        <v>0</v>
      </c>
      <c r="G16" s="2592" t="s">
        <v>2595</v>
      </c>
      <c r="H16" s="2592"/>
      <c r="I16" s="848">
        <f>G132</f>
        <v>0</v>
      </c>
    </row>
    <row r="17" spans="1:21" ht="15" customHeight="1" thickBot="1">
      <c r="A17" s="833"/>
      <c r="B17" s="2576" t="s">
        <v>2596</v>
      </c>
      <c r="C17" s="2577"/>
      <c r="D17" s="2578"/>
      <c r="E17" s="947">
        <f>G115</f>
        <v>1614000</v>
      </c>
      <c r="G17" s="2592" t="s">
        <v>2597</v>
      </c>
      <c r="H17" s="2592"/>
      <c r="I17" s="848">
        <f>IF(AND(G139="Yes",OR(G136,G137)),IF(G143&gt;15%,15%,G143),0)</f>
        <v>0</v>
      </c>
    </row>
    <row r="18" spans="1:21" ht="15" customHeight="1">
      <c r="A18" s="830"/>
      <c r="B18" s="2605" t="s">
        <v>2598</v>
      </c>
      <c r="C18" s="2605"/>
      <c r="D18" s="2605"/>
      <c r="E18" s="895">
        <f>SUM(E9:E11,E14)</f>
        <v>20364912</v>
      </c>
      <c r="G18" s="921" t="s">
        <v>2599</v>
      </c>
      <c r="H18" s="921"/>
      <c r="I18" s="896">
        <f>I11-((I11*I14)+(I11*I15)+(I11*I16)+(I11*I17))</f>
        <v>18452930.5</v>
      </c>
      <c r="M18" s="849">
        <f>SUM(Cdlac[Quantity])</f>
        <v>52</v>
      </c>
      <c r="O18" s="869" t="s">
        <v>933</v>
      </c>
      <c r="P18" s="828">
        <f>MATCH(Application!T189,Application!CB160:CB217,0)</f>
        <v>35</v>
      </c>
      <c r="T18" s="849">
        <f>SUM(Cdlac[Population])</f>
        <v>0</v>
      </c>
    </row>
    <row r="19" spans="1:21" ht="15" customHeight="1">
      <c r="A19" s="830"/>
      <c r="B19" s="830"/>
      <c r="C19" s="830"/>
      <c r="D19" s="830"/>
      <c r="E19" s="830"/>
      <c r="L19" s="828" t="s">
        <v>2600</v>
      </c>
      <c r="M19" s="828" t="s">
        <v>2601</v>
      </c>
      <c r="N19" s="828" t="s">
        <v>2602</v>
      </c>
      <c r="O19" s="828" t="s">
        <v>2603</v>
      </c>
      <c r="P19" s="828" t="s">
        <v>2604</v>
      </c>
      <c r="Q19" s="828" t="s">
        <v>2605</v>
      </c>
      <c r="R19" s="828" t="s">
        <v>2606</v>
      </c>
      <c r="S19" s="828" t="s">
        <v>2607</v>
      </c>
      <c r="T19" s="828" t="s">
        <v>2608</v>
      </c>
      <c r="U19" s="828" t="s">
        <v>997</v>
      </c>
    </row>
    <row r="20" spans="1:21" ht="15" customHeight="1">
      <c r="B20" s="850" t="str">
        <f>B9</f>
        <v>A. Unit Production Benefit</v>
      </c>
      <c r="C20" s="851"/>
      <c r="D20" s="851"/>
      <c r="E20" s="851"/>
      <c r="F20" s="851"/>
      <c r="G20" s="851"/>
      <c r="H20" s="851"/>
      <c r="I20" s="852"/>
      <c r="L20" s="828">
        <f>IFERROR(MIN(4,MATCH(Application!B718,UnitSizes,0)-1),"")</f>
        <v>1</v>
      </c>
      <c r="M20" s="849">
        <f>Application!G718</f>
        <v>6</v>
      </c>
      <c r="N20" s="855">
        <f>Application!AC718</f>
        <v>0.6</v>
      </c>
      <c r="O20" s="855">
        <f>IF(Cdlac[[#This Row],[Quantity]]&gt;0,IF(Cdlac[[#This Row],[Federal]],30%,IF(AND(OR(NOT($G$38),$G$38=""),$G$43),40%,Cdlac[[#This Row],[iAMI]])),"")</f>
        <v>0.6</v>
      </c>
      <c r="P20" s="849" cm="1">
        <f t="array" ref="P20">IF(Cdlac[[#This Row],[Quantity]]&gt;0,INDEX(TcacRents,$P$18,Cdlac[[#This Row],[Bedrooms]]+1)*Cdlac[[#This Row],[AMI]],"")</f>
        <v>1377.6</v>
      </c>
      <c r="Q20" s="946"/>
      <c r="R20" s="849" cm="1">
        <f t="array" ref="R20">IF(Cdlac[[#This Row],[Quantity]]&gt;0,INDEX(HudFmrs,$P$18,Cdlac[[#This Row],[Bedrooms]]+1),"")</f>
        <v>1917</v>
      </c>
      <c r="S20" s="849">
        <f>IF(Cdlac[[#This Row],[Quantity]]&gt;0,MAX(0,Cdlac[[#This Row],[Fair Market Rent]]-IF(AND($G$37,$G$38,$G$38&lt;&gt;"",NOT(Cdlac[[#This Row],[Federal]]),Cdlac[[#This Row],[Preservation Rent]]&lt;&gt;""),Cdlac[[#This Row],[Preservation Rent]],Cdlac[[#This Row],[Restricted Rent]])),"")</f>
        <v>539.40000000000009</v>
      </c>
      <c r="T20" s="828">
        <f>IF(Cdlac[[#This Row],[Quantity]]&gt;0,AND(Application!AK718&lt;&gt;"N/A",Application!AK718&lt;&gt;"")*Cdlac[[#This Row],[Quantity]],"")</f>
        <v>0</v>
      </c>
      <c r="U20" s="828" t="b">
        <f>AND('Subsidy Contract Calculation'!F4&gt;0,OR('Subsidy Contract Calculation'!C4="Federal",'Subsidy Contract Calculation'!C4="Local - Approved by ED"),Cdlac[[#This Row],[Quantity]]&gt;0)</f>
        <v>0</v>
      </c>
    </row>
    <row r="21" spans="1:21" ht="15" customHeight="1">
      <c r="A21" s="830"/>
      <c r="B21" s="830"/>
      <c r="I21" s="853"/>
      <c r="L21" s="828">
        <f>IFERROR(MIN(4,MATCH(Application!B719,UnitSizes,0)-1),"")</f>
        <v>2</v>
      </c>
      <c r="M21" s="849">
        <f>Application!G719</f>
        <v>14</v>
      </c>
      <c r="N21" s="855">
        <f>Application!AC719</f>
        <v>0.6</v>
      </c>
      <c r="O21" s="855">
        <f>IF(Cdlac[[#This Row],[Quantity]]&gt;0,IF(Cdlac[[#This Row],[Federal]],30%,IF(AND(OR(NOT($G$38),$G$38=""),$G$43),40%,Cdlac[[#This Row],[iAMI]])),"")</f>
        <v>0.6</v>
      </c>
      <c r="P21" s="849" cm="1">
        <f t="array" ref="P21">IF(Cdlac[[#This Row],[Quantity]]&gt;0,INDEX(TcacRents,$P$18,Cdlac[[#This Row],[Bedrooms]]+1)*Cdlac[[#This Row],[AMI]],"")</f>
        <v>1652.3999999999999</v>
      </c>
      <c r="Q21" s="946"/>
      <c r="R21" s="849" cm="1">
        <f t="array" ref="R21">IF(Cdlac[[#This Row],[Quantity]]&gt;0,INDEX(HudFmrs,$P$18,Cdlac[[#This Row],[Bedrooms]]+1),"")</f>
        <v>2519</v>
      </c>
      <c r="S21" s="849">
        <f>IF(Cdlac[[#This Row],[Quantity]]&gt;0,MAX(0,Cdlac[[#This Row],[Fair Market Rent]]-IF(AND($G$37,$G$38,$G$38&lt;&gt;"",NOT(Cdlac[[#This Row],[Federal]]),Cdlac[[#This Row],[Preservation Rent]]&lt;&gt;""),Cdlac[[#This Row],[Preservation Rent]],Cdlac[[#This Row],[Restricted Rent]])),"")</f>
        <v>866.60000000000014</v>
      </c>
      <c r="T21" s="828">
        <f>IF(Cdlac[[#This Row],[Quantity]]&gt;0,AND(Application!AK719&lt;&gt;"N/A",Application!AK719&lt;&gt;"")*Cdlac[[#This Row],[Quantity]],"")</f>
        <v>0</v>
      </c>
      <c r="U21" s="828" t="b">
        <f>AND('Subsidy Contract Calculation'!F5&gt;0,OR('Subsidy Contract Calculation'!C5="Federal",'Subsidy Contract Calculation'!C5="Local - Approved by ED"),Cdlac[[#This Row],[Quantity]]&gt;0)</f>
        <v>0</v>
      </c>
    </row>
    <row r="22" spans="1:21" ht="15" customHeight="1">
      <c r="A22" s="833"/>
      <c r="C22" s="2583" t="s">
        <v>2609</v>
      </c>
      <c r="D22" s="2583" t="s">
        <v>2610</v>
      </c>
      <c r="E22" s="2583" t="s">
        <v>2611</v>
      </c>
      <c r="F22" s="2583" t="s">
        <v>2612</v>
      </c>
      <c r="G22" s="2583" t="s">
        <v>2613</v>
      </c>
      <c r="H22" s="854"/>
      <c r="I22" s="853"/>
      <c r="L22" s="828">
        <f>IFERROR(MIN(4,MATCH(Application!B720,UnitSizes,0)-1),"")</f>
        <v>2</v>
      </c>
      <c r="M22" s="849">
        <f>Application!G720</f>
        <v>10</v>
      </c>
      <c r="N22" s="855">
        <f>Application!AC720</f>
        <v>0.3</v>
      </c>
      <c r="O22" s="855">
        <f>IF(Cdlac[[#This Row],[Quantity]]&gt;0,IF(Cdlac[[#This Row],[Federal]],30%,IF(AND(OR(NOT($G$38),$G$38=""),$G$43),40%,Cdlac[[#This Row],[iAMI]])),"")</f>
        <v>0.3</v>
      </c>
      <c r="P22" s="849" cm="1">
        <f t="array" ref="P22">IF(Cdlac[[#This Row],[Quantity]]&gt;0,INDEX(TcacRents,$P$18,Cdlac[[#This Row],[Bedrooms]]+1)*Cdlac[[#This Row],[AMI]],"")</f>
        <v>826.19999999999993</v>
      </c>
      <c r="Q22" s="946"/>
      <c r="R22" s="849" cm="1">
        <f t="array" ref="R22">IF(Cdlac[[#This Row],[Quantity]]&gt;0,INDEX(HudFmrs,$P$18,Cdlac[[#This Row],[Bedrooms]]+1),"")</f>
        <v>2519</v>
      </c>
      <c r="S22" s="849">
        <f>IF(Cdlac[[#This Row],[Quantity]]&gt;0,MAX(0,Cdlac[[#This Row],[Fair Market Rent]]-IF(AND($G$37,$G$38,$G$38&lt;&gt;"",NOT(Cdlac[[#This Row],[Federal]]),Cdlac[[#This Row],[Preservation Rent]]&lt;&gt;""),Cdlac[[#This Row],[Preservation Rent]],Cdlac[[#This Row],[Restricted Rent]])),"")</f>
        <v>1692.8000000000002</v>
      </c>
      <c r="T22" s="828">
        <f>IF(Cdlac[[#This Row],[Quantity]]&gt;0,AND(Application!AK720&lt;&gt;"N/A",Application!AK720&lt;&gt;"")*Cdlac[[#This Row],[Quantity]],"")</f>
        <v>0</v>
      </c>
      <c r="U22" s="828" t="b">
        <f>AND('Subsidy Contract Calculation'!F6&gt;0,OR('Subsidy Contract Calculation'!C6="Federal",'Subsidy Contract Calculation'!C6="Local - Approved by ED"),Cdlac[[#This Row],[Quantity]]&gt;0)</f>
        <v>1</v>
      </c>
    </row>
    <row r="23" spans="1:21" ht="15" customHeight="1">
      <c r="A23" s="833"/>
      <c r="C23" s="2584"/>
      <c r="D23" s="2584"/>
      <c r="E23" s="2584"/>
      <c r="F23" s="2584"/>
      <c r="G23" s="2584"/>
      <c r="H23" s="854"/>
      <c r="I23" s="853"/>
      <c r="L23" s="828">
        <f>IFERROR(MIN(4,MATCH(Application!B721,UnitSizes,0)-1),"")</f>
        <v>3</v>
      </c>
      <c r="M23" s="849">
        <f>Application!G721</f>
        <v>7</v>
      </c>
      <c r="N23" s="855">
        <f>Application!AC721</f>
        <v>0.6</v>
      </c>
      <c r="O23" s="855">
        <f>IF(Cdlac[[#This Row],[Quantity]]&gt;0,IF(Cdlac[[#This Row],[Federal]],30%,IF(AND(OR(NOT($G$38),$G$38=""),$G$43),40%,Cdlac[[#This Row],[iAMI]])),"")</f>
        <v>0.6</v>
      </c>
      <c r="P23" s="849" cm="1">
        <f t="array" ref="P23">IF(Cdlac[[#This Row],[Quantity]]&gt;0,INDEX(TcacRents,$P$18,Cdlac[[#This Row],[Bedrooms]]+1)*Cdlac[[#This Row],[AMI]],"")</f>
        <v>1909.1999999999998</v>
      </c>
      <c r="Q23" s="946"/>
      <c r="R23" s="849" cm="1">
        <f t="array" ref="R23">IF(Cdlac[[#This Row],[Quantity]]&gt;0,INDEX(HudFmrs,$P$18,Cdlac[[#This Row],[Bedrooms]]+1),"")</f>
        <v>3550</v>
      </c>
      <c r="S23" s="849">
        <f>IF(Cdlac[[#This Row],[Quantity]]&gt;0,MAX(0,Cdlac[[#This Row],[Fair Market Rent]]-IF(AND($G$37,$G$38,$G$38&lt;&gt;"",NOT(Cdlac[[#This Row],[Federal]]),Cdlac[[#This Row],[Preservation Rent]]&lt;&gt;""),Cdlac[[#This Row],[Preservation Rent]],Cdlac[[#This Row],[Restricted Rent]])),"")</f>
        <v>1640.8000000000002</v>
      </c>
      <c r="T23" s="828">
        <f>IF(Cdlac[[#This Row],[Quantity]]&gt;0,AND(Application!AK721&lt;&gt;"N/A",Application!AK721&lt;&gt;"")*Cdlac[[#This Row],[Quantity]],"")</f>
        <v>0</v>
      </c>
      <c r="U23" s="828" t="b">
        <f>AND('Subsidy Contract Calculation'!F7&gt;0,OR('Subsidy Contract Calculation'!C7="Federal",'Subsidy Contract Calculation'!C7="Local - Approved by ED"),Cdlac[[#This Row],[Quantity]]&gt;0)</f>
        <v>0</v>
      </c>
    </row>
    <row r="24" spans="1:21" ht="15" customHeight="1">
      <c r="C24" s="856">
        <v>0</v>
      </c>
      <c r="D24" s="857">
        <v>0.9</v>
      </c>
      <c r="E24" s="856">
        <f>SUMIFS(Cdlac[Quantity],Cdlac[Bedrooms],C24)</f>
        <v>0</v>
      </c>
      <c r="F24" s="856">
        <f>E24</f>
        <v>0</v>
      </c>
      <c r="G24" s="856">
        <f>D24*F24</f>
        <v>0</v>
      </c>
      <c r="L24" s="828">
        <f>IFERROR(MIN(4,MATCH(Application!B722,UnitSizes,0)-1),"")</f>
        <v>3</v>
      </c>
      <c r="M24" s="849">
        <f>Application!G722</f>
        <v>15</v>
      </c>
      <c r="N24" s="855">
        <f>Application!AC722</f>
        <v>0.3</v>
      </c>
      <c r="O24" s="855">
        <f>IF(Cdlac[[#This Row],[Quantity]]&gt;0,IF(Cdlac[[#This Row],[Federal]],30%,IF(AND(OR(NOT($G$38),$G$38=""),$G$43),40%,Cdlac[[#This Row],[iAMI]])),"")</f>
        <v>0.3</v>
      </c>
      <c r="P24" s="849" cm="1">
        <f t="array" ref="P24">IF(Cdlac[[#This Row],[Quantity]]&gt;0,INDEX(TcacRents,$P$18,Cdlac[[#This Row],[Bedrooms]]+1)*Cdlac[[#This Row],[AMI]],"")</f>
        <v>954.59999999999991</v>
      </c>
      <c r="Q24" s="946"/>
      <c r="R24" s="849" cm="1">
        <f t="array" ref="R24">IF(Cdlac[[#This Row],[Quantity]]&gt;0,INDEX(HudFmrs,$P$18,Cdlac[[#This Row],[Bedrooms]]+1),"")</f>
        <v>3550</v>
      </c>
      <c r="S24" s="849">
        <f>IF(Cdlac[[#This Row],[Quantity]]&gt;0,MAX(0,Cdlac[[#This Row],[Fair Market Rent]]-IF(AND($G$37,$G$38,$G$38&lt;&gt;"",NOT(Cdlac[[#This Row],[Federal]]),Cdlac[[#This Row],[Preservation Rent]]&lt;&gt;""),Cdlac[[#This Row],[Preservation Rent]],Cdlac[[#This Row],[Restricted Rent]])),"")</f>
        <v>2595.4</v>
      </c>
      <c r="T24" s="828">
        <f>IF(Cdlac[[#This Row],[Quantity]]&gt;0,AND(Application!AK722&lt;&gt;"N/A",Application!AK722&lt;&gt;"")*Cdlac[[#This Row],[Quantity]],"")</f>
        <v>0</v>
      </c>
      <c r="U24" s="828" t="b">
        <f>AND('Subsidy Contract Calculation'!F8&gt;0,OR('Subsidy Contract Calculation'!C8="Federal",'Subsidy Contract Calculation'!C8="Local - Approved by ED"),Cdlac[[#This Row],[Quantity]]&gt;0)</f>
        <v>1</v>
      </c>
    </row>
    <row r="25" spans="1:21" ht="15" customHeight="1">
      <c r="C25" s="856">
        <v>1</v>
      </c>
      <c r="D25" s="857">
        <v>1</v>
      </c>
      <c r="E25" s="856">
        <f>SUMIFS(Cdlac[Quantity],Cdlac[Bedrooms],C25)</f>
        <v>6</v>
      </c>
      <c r="F25" s="856">
        <f>E25</f>
        <v>6</v>
      </c>
      <c r="G25" s="856">
        <f>D25*F25</f>
        <v>6</v>
      </c>
      <c r="L25" s="828" t="str">
        <f>IFERROR(MIN(4,MATCH(Application!B723,UnitSizes,0)-1),"")</f>
        <v/>
      </c>
      <c r="M25" s="849">
        <f>Application!G723</f>
        <v>0</v>
      </c>
      <c r="N25" s="855">
        <f>Application!AC723</f>
        <v>0</v>
      </c>
      <c r="O25" s="855" t="str">
        <f>IF(Cdlac[[#This Row],[Quantity]]&gt;0,IF(Cdlac[[#This Row],[Federal]],30%,IF(AND(OR(NOT($G$38),$G$38=""),$G$43),40%,Cdlac[[#This Row],[iAMI]])),"")</f>
        <v/>
      </c>
      <c r="P25" s="849" t="str" cm="1">
        <f t="array" ref="P25">IF(Cdlac[[#This Row],[Quantity]]&gt;0,INDEX(TcacRents,$P$18,Cdlac[[#This Row],[Bedrooms]]+1)*Cdlac[[#This Row],[AMI]],"")</f>
        <v/>
      </c>
      <c r="Q25" s="946"/>
      <c r="R25" s="849" t="str" cm="1">
        <f t="array" ref="R25">IF(Cdlac[[#This Row],[Quantity]]&gt;0,INDEX(HudFmrs,$P$18,Cdlac[[#This Row],[Bedrooms]]+1),"")</f>
        <v/>
      </c>
      <c r="S25" s="849" t="str">
        <f>IF(Cdlac[[#This Row],[Quantity]]&gt;0,MAX(0,Cdlac[[#This Row],[Fair Market Rent]]-IF(AND($G$37,$G$38,$G$38&lt;&gt;"",NOT(Cdlac[[#This Row],[Federal]]),Cdlac[[#This Row],[Preservation Rent]]&lt;&gt;""),Cdlac[[#This Row],[Preservation Rent]],Cdlac[[#This Row],[Restricted Rent]])),"")</f>
        <v/>
      </c>
      <c r="T25" s="828" t="str">
        <f>IF(Cdlac[[#This Row],[Quantity]]&gt;0,AND(Application!AK723&lt;&gt;"N/A",Application!AK723&lt;&gt;"")*Cdlac[[#This Row],[Quantity]],"")</f>
        <v/>
      </c>
      <c r="U25" s="828" t="b">
        <f>AND('Subsidy Contract Calculation'!F9&gt;0,OR('Subsidy Contract Calculation'!C9="Federal",'Subsidy Contract Calculation'!C9="Local - Approved by ED"),Cdlac[[#This Row],[Quantity]]&gt;0)</f>
        <v>0</v>
      </c>
    </row>
    <row r="26" spans="1:21" ht="15" customHeight="1">
      <c r="A26" s="858"/>
      <c r="C26" s="859">
        <v>2</v>
      </c>
      <c r="D26" s="857">
        <v>1.25</v>
      </c>
      <c r="E26" s="856">
        <f>SUMIFS(Cdlac[Quantity],Cdlac[Bedrooms],C26)</f>
        <v>24</v>
      </c>
      <c r="F26" s="859">
        <f>SUM(E26:E28)-SUM(F27:F28)</f>
        <v>31</v>
      </c>
      <c r="G26" s="856">
        <f>D26*F26</f>
        <v>38.75</v>
      </c>
      <c r="H26" s="858"/>
      <c r="I26" s="858"/>
      <c r="L26" s="828" t="str">
        <f>IFERROR(MIN(4,MATCH(Application!B724,UnitSizes,0)-1),"")</f>
        <v/>
      </c>
      <c r="M26" s="849">
        <f>Application!G724</f>
        <v>0</v>
      </c>
      <c r="N26" s="855">
        <f>Application!AC724</f>
        <v>0</v>
      </c>
      <c r="O26" s="855" t="str">
        <f>IF(Cdlac[[#This Row],[Quantity]]&gt;0,IF(Cdlac[[#This Row],[Federal]],30%,IF(AND(OR(NOT($G$38),$G$38=""),$G$43),40%,Cdlac[[#This Row],[iAMI]])),"")</f>
        <v/>
      </c>
      <c r="P26" s="849" t="str" cm="1">
        <f t="array" ref="P26">IF(Cdlac[[#This Row],[Quantity]]&gt;0,INDEX(TcacRents,$P$18,Cdlac[[#This Row],[Bedrooms]]+1)*Cdlac[[#This Row],[AMI]],"")</f>
        <v/>
      </c>
      <c r="Q26" s="946"/>
      <c r="R26" s="849" t="str" cm="1">
        <f t="array" ref="R26">IF(Cdlac[[#This Row],[Quantity]]&gt;0,INDEX(HudFmrs,$P$18,Cdlac[[#This Row],[Bedrooms]]+1),"")</f>
        <v/>
      </c>
      <c r="S26" s="849" t="str">
        <f>IF(Cdlac[[#This Row],[Quantity]]&gt;0,MAX(0,Cdlac[[#This Row],[Fair Market Rent]]-IF(AND($G$37,$G$38,$G$38&lt;&gt;"",NOT(Cdlac[[#This Row],[Federal]]),Cdlac[[#This Row],[Preservation Rent]]&lt;&gt;""),Cdlac[[#This Row],[Preservation Rent]],Cdlac[[#This Row],[Restricted Rent]])),"")</f>
        <v/>
      </c>
      <c r="T26" s="828" t="str">
        <f>IF(Cdlac[[#This Row],[Quantity]]&gt;0,AND(Application!AK724&lt;&gt;"N/A",Application!AK724&lt;&gt;"")*Cdlac[[#This Row],[Quantity]],"")</f>
        <v/>
      </c>
      <c r="U26" s="828" t="b">
        <f>AND('Subsidy Contract Calculation'!F10&gt;0,OR('Subsidy Contract Calculation'!C10="Federal",'Subsidy Contract Calculation'!C10="Local - Approved by ED"),Cdlac[[#This Row],[Quantity]]&gt;0)</f>
        <v>0</v>
      </c>
    </row>
    <row r="27" spans="1:21" ht="15" customHeight="1">
      <c r="A27" s="858"/>
      <c r="C27" s="859">
        <v>3</v>
      </c>
      <c r="D27" s="857">
        <f>1.5+0.25*0</f>
        <v>1.5</v>
      </c>
      <c r="E27" s="856">
        <f>SUMIFS(Cdlac[Quantity],Cdlac[Bedrooms],C27)</f>
        <v>22</v>
      </c>
      <c r="F27" s="859">
        <f>MIN(E27,ROUNDDOWN(E29*30%,0))</f>
        <v>15</v>
      </c>
      <c r="G27" s="856">
        <f>D27*F27</f>
        <v>22.5</v>
      </c>
      <c r="H27" s="858"/>
      <c r="I27" s="858"/>
      <c r="L27" s="828" t="str">
        <f>IFERROR(MIN(4,MATCH(Application!B725,UnitSizes,0)-1),"")</f>
        <v/>
      </c>
      <c r="M27" s="849">
        <f>Application!G725</f>
        <v>0</v>
      </c>
      <c r="N27" s="855">
        <f>Application!AC725</f>
        <v>0</v>
      </c>
      <c r="O27" s="855" t="str">
        <f>IF(Cdlac[[#This Row],[Quantity]]&gt;0,IF(Cdlac[[#This Row],[Federal]],30%,IF(AND(OR(NOT($G$38),$G$38=""),$G$43),40%,Cdlac[[#This Row],[iAMI]])),"")</f>
        <v/>
      </c>
      <c r="P27" s="849" t="str" cm="1">
        <f t="array" ref="P27">IF(Cdlac[[#This Row],[Quantity]]&gt;0,INDEX(TcacRents,$P$18,Cdlac[[#This Row],[Bedrooms]]+1)*Cdlac[[#This Row],[AMI]],"")</f>
        <v/>
      </c>
      <c r="Q27" s="946"/>
      <c r="R27" s="849" t="str" cm="1">
        <f t="array" ref="R27">IF(Cdlac[[#This Row],[Quantity]]&gt;0,INDEX(HudFmrs,$P$18,Cdlac[[#This Row],[Bedrooms]]+1),"")</f>
        <v/>
      </c>
      <c r="S27" s="849" t="str">
        <f>IF(Cdlac[[#This Row],[Quantity]]&gt;0,MAX(0,Cdlac[[#This Row],[Fair Market Rent]]-IF(AND($G$37,$G$38,$G$38&lt;&gt;"",NOT(Cdlac[[#This Row],[Federal]]),Cdlac[[#This Row],[Preservation Rent]]&lt;&gt;""),Cdlac[[#This Row],[Preservation Rent]],Cdlac[[#This Row],[Restricted Rent]])),"")</f>
        <v/>
      </c>
      <c r="T27" s="828" t="str">
        <f>IF(Cdlac[[#This Row],[Quantity]]&gt;0,AND(Application!AK725&lt;&gt;"N/A",Application!AK725&lt;&gt;"")*Cdlac[[#This Row],[Quantity]],"")</f>
        <v/>
      </c>
      <c r="U27" s="828" t="b">
        <f>AND('Subsidy Contract Calculation'!F11&gt;0,OR('Subsidy Contract Calculation'!C11="Federal",'Subsidy Contract Calculation'!C11="Local - Approved by ED"),Cdlac[[#This Row],[Quantity]]&gt;0)</f>
        <v>0</v>
      </c>
    </row>
    <row r="28" spans="1:21" ht="15" customHeight="1" thickBot="1">
      <c r="A28" s="858"/>
      <c r="C28" s="870">
        <v>4</v>
      </c>
      <c r="D28" s="871">
        <f>1.75+0.25*0</f>
        <v>1.75</v>
      </c>
      <c r="E28" s="872">
        <f>SUMIFS(Cdlac[Quantity],Cdlac[Bedrooms],C28)</f>
        <v>0</v>
      </c>
      <c r="F28" s="870">
        <f>MIN(E28,ROUNDDOWN(E29*10%,0))</f>
        <v>0</v>
      </c>
      <c r="G28" s="872">
        <f>D28*F28</f>
        <v>0</v>
      </c>
      <c r="H28" s="858"/>
      <c r="I28" s="858"/>
      <c r="L28" s="828" t="str">
        <f>IFERROR(MIN(4,MATCH(Application!B726,UnitSizes,0)-1),"")</f>
        <v/>
      </c>
      <c r="M28" s="849">
        <f>Application!G726</f>
        <v>0</v>
      </c>
      <c r="N28" s="855">
        <f>Application!AC726</f>
        <v>0</v>
      </c>
      <c r="O28" s="855" t="str">
        <f>IF(Cdlac[[#This Row],[Quantity]]&gt;0,IF(Cdlac[[#This Row],[Federal]],30%,IF(AND(OR(NOT($G$38),$G$38=""),$G$43),40%,Cdlac[[#This Row],[iAMI]])),"")</f>
        <v/>
      </c>
      <c r="P28" s="849" t="str" cm="1">
        <f t="array" ref="P28">IF(Cdlac[[#This Row],[Quantity]]&gt;0,INDEX(TcacRents,$P$18,Cdlac[[#This Row],[Bedrooms]]+1)*Cdlac[[#This Row],[AMI]],"")</f>
        <v/>
      </c>
      <c r="Q28" s="946"/>
      <c r="R28" s="849" t="str" cm="1">
        <f t="array" ref="R28">IF(Cdlac[[#This Row],[Quantity]]&gt;0,INDEX(HudFmrs,$P$18,Cdlac[[#This Row],[Bedrooms]]+1),"")</f>
        <v/>
      </c>
      <c r="S28" s="849" t="str">
        <f>IF(Cdlac[[#This Row],[Quantity]]&gt;0,MAX(0,Cdlac[[#This Row],[Fair Market Rent]]-IF(AND($G$37,$G$38,$G$38&lt;&gt;"",NOT(Cdlac[[#This Row],[Federal]]),Cdlac[[#This Row],[Preservation Rent]]&lt;&gt;""),Cdlac[[#This Row],[Preservation Rent]],Cdlac[[#This Row],[Restricted Rent]])),"")</f>
        <v/>
      </c>
      <c r="T28" s="828" t="str">
        <f>IF(Cdlac[[#This Row],[Quantity]]&gt;0,AND(Application!AK726&lt;&gt;"N/A",Application!AK726&lt;&gt;"")*Cdlac[[#This Row],[Quantity]],"")</f>
        <v/>
      </c>
      <c r="U28" s="828" t="b">
        <f>AND('Subsidy Contract Calculation'!F12&gt;0,OR('Subsidy Contract Calculation'!C12="Federal",'Subsidy Contract Calculation'!C12="Local - Approved by ED"),Cdlac[[#This Row],[Quantity]]&gt;0)</f>
        <v>0</v>
      </c>
    </row>
    <row r="29" spans="1:21" ht="15" customHeight="1">
      <c r="A29" s="858"/>
      <c r="C29" s="2585" t="s">
        <v>1913</v>
      </c>
      <c r="D29" s="2586"/>
      <c r="E29" s="873">
        <f>SUM(E24:E28)</f>
        <v>52</v>
      </c>
      <c r="F29" s="873">
        <f>SUM(F24:F28)</f>
        <v>52</v>
      </c>
      <c r="G29" s="874">
        <f>SUMPRODUCT(D24:D28,F24:F28)</f>
        <v>67.25</v>
      </c>
      <c r="H29" s="858"/>
      <c r="I29" s="858"/>
      <c r="L29" s="828" t="str">
        <f>IFERROR(MIN(4,MATCH(Application!B727,UnitSizes,0)-1),"")</f>
        <v/>
      </c>
      <c r="M29" s="849">
        <f>Application!G727</f>
        <v>0</v>
      </c>
      <c r="N29" s="855">
        <f>Application!AC727</f>
        <v>0</v>
      </c>
      <c r="O29" s="855" t="str">
        <f>IF(Cdlac[[#This Row],[Quantity]]&gt;0,IF(Cdlac[[#This Row],[Federal]],30%,IF(AND(OR(NOT($G$38),$G$38=""),$G$43),40%,Cdlac[[#This Row],[iAMI]])),"")</f>
        <v/>
      </c>
      <c r="P29" s="849" t="str" cm="1">
        <f t="array" ref="P29">IF(Cdlac[[#This Row],[Quantity]]&gt;0,INDEX(TcacRents,$P$18,Cdlac[[#This Row],[Bedrooms]]+1)*Cdlac[[#This Row],[AMI]],"")</f>
        <v/>
      </c>
      <c r="Q29" s="946"/>
      <c r="R29" s="849" t="str" cm="1">
        <f t="array" ref="R29">IF(Cdlac[[#This Row],[Quantity]]&gt;0,INDEX(HudFmrs,$P$18,Cdlac[[#This Row],[Bedrooms]]+1),"")</f>
        <v/>
      </c>
      <c r="S29" s="849" t="str">
        <f>IF(Cdlac[[#This Row],[Quantity]]&gt;0,MAX(0,Cdlac[[#This Row],[Fair Market Rent]]-IF(AND($G$37,$G$38,$G$38&lt;&gt;"",NOT(Cdlac[[#This Row],[Federal]]),Cdlac[[#This Row],[Preservation Rent]]&lt;&gt;""),Cdlac[[#This Row],[Preservation Rent]],Cdlac[[#This Row],[Restricted Rent]])),"")</f>
        <v/>
      </c>
      <c r="T29" s="828" t="str">
        <f>IF(Cdlac[[#This Row],[Quantity]]&gt;0,AND(Application!AK727&lt;&gt;"N/A",Application!AK727&lt;&gt;"")*Cdlac[[#This Row],[Quantity]],"")</f>
        <v/>
      </c>
      <c r="U29" s="828" t="b">
        <f>AND('Subsidy Contract Calculation'!F13&gt;0,OR('Subsidy Contract Calculation'!C13="Federal",'Subsidy Contract Calculation'!C13="Local - Approved by ED"),Cdlac[[#This Row],[Quantity]]&gt;0)</f>
        <v>0</v>
      </c>
    </row>
    <row r="30" spans="1:21" ht="15" customHeight="1">
      <c r="A30" s="858"/>
      <c r="C30" s="858"/>
      <c r="D30" s="858"/>
      <c r="E30" s="858"/>
      <c r="F30" s="858"/>
      <c r="G30" s="858"/>
      <c r="H30" s="858"/>
      <c r="I30" s="858"/>
      <c r="L30" s="828" t="str">
        <f>IFERROR(MIN(4,MATCH(Application!B728,UnitSizes,0)-1),"")</f>
        <v/>
      </c>
      <c r="M30" s="849">
        <f>Application!G728</f>
        <v>0</v>
      </c>
      <c r="N30" s="855">
        <f>Application!AC728</f>
        <v>0</v>
      </c>
      <c r="O30" s="855" t="str">
        <f>IF(Cdlac[[#This Row],[Quantity]]&gt;0,IF(Cdlac[[#This Row],[Federal]],30%,IF(AND(OR(NOT($G$38),$G$38=""),$G$43),40%,Cdlac[[#This Row],[iAMI]])),"")</f>
        <v/>
      </c>
      <c r="P30" s="849" t="str" cm="1">
        <f t="array" ref="P30">IF(Cdlac[[#This Row],[Quantity]]&gt;0,INDEX(TcacRents,$P$18,Cdlac[[#This Row],[Bedrooms]]+1)*Cdlac[[#This Row],[AMI]],"")</f>
        <v/>
      </c>
      <c r="Q30" s="946"/>
      <c r="R30" s="849" t="str" cm="1">
        <f t="array" ref="R30">IF(Cdlac[[#This Row],[Quantity]]&gt;0,INDEX(HudFmrs,$P$18,Cdlac[[#This Row],[Bedrooms]]+1),"")</f>
        <v/>
      </c>
      <c r="S30" s="849" t="str">
        <f>IF(Cdlac[[#This Row],[Quantity]]&gt;0,MAX(0,Cdlac[[#This Row],[Fair Market Rent]]-IF(AND($G$37,$G$38,$G$38&lt;&gt;"",NOT(Cdlac[[#This Row],[Federal]]),Cdlac[[#This Row],[Preservation Rent]]&lt;&gt;""),Cdlac[[#This Row],[Preservation Rent]],Cdlac[[#This Row],[Restricted Rent]])),"")</f>
        <v/>
      </c>
      <c r="T30" s="828" t="str">
        <f>IF(Cdlac[[#This Row],[Quantity]]&gt;0,AND(Application!AK728&lt;&gt;"N/A",Application!AK728&lt;&gt;"")*Cdlac[[#This Row],[Quantity]],"")</f>
        <v/>
      </c>
      <c r="U30" s="828" t="b">
        <f>AND('Subsidy Contract Calculation'!F14&gt;0,OR('Subsidy Contract Calculation'!C14="Federal",'Subsidy Contract Calculation'!C14="Local - Approved by ED"),Cdlac[[#This Row],[Quantity]]&gt;0)</f>
        <v>0</v>
      </c>
    </row>
    <row r="31" spans="1:21" ht="15" customHeight="1">
      <c r="A31" s="858"/>
      <c r="E31" s="901" t="s">
        <v>2613</v>
      </c>
      <c r="G31" s="898">
        <f>G29</f>
        <v>67.25</v>
      </c>
      <c r="H31" s="858"/>
      <c r="I31" s="858"/>
      <c r="L31" s="828" t="str">
        <f>IFERROR(MIN(4,MATCH(Application!B729,UnitSizes,0)-1),"")</f>
        <v/>
      </c>
      <c r="M31" s="849">
        <f>Application!G729</f>
        <v>0</v>
      </c>
      <c r="N31" s="855">
        <f>Application!AC729</f>
        <v>0</v>
      </c>
      <c r="O31" s="855" t="str">
        <f>IF(Cdlac[[#This Row],[Quantity]]&gt;0,IF(Cdlac[[#This Row],[Federal]],30%,IF(AND(OR(NOT($G$38),$G$38=""),$G$43),40%,Cdlac[[#This Row],[iAMI]])),"")</f>
        <v/>
      </c>
      <c r="P31" s="849" t="str" cm="1">
        <f t="array" ref="P31">IF(Cdlac[[#This Row],[Quantity]]&gt;0,INDEX(TcacRents,$P$18,Cdlac[[#This Row],[Bedrooms]]+1)*Cdlac[[#This Row],[AMI]],"")</f>
        <v/>
      </c>
      <c r="Q31" s="946"/>
      <c r="R31" s="849" t="str" cm="1">
        <f t="array" ref="R31">IF(Cdlac[[#This Row],[Quantity]]&gt;0,INDEX(HudFmrs,$P$18,Cdlac[[#This Row],[Bedrooms]]+1),"")</f>
        <v/>
      </c>
      <c r="S31" s="849" t="str">
        <f>IF(Cdlac[[#This Row],[Quantity]]&gt;0,MAX(0,Cdlac[[#This Row],[Fair Market Rent]]-IF(AND($G$37,$G$38,$G$38&lt;&gt;"",NOT(Cdlac[[#This Row],[Federal]]),Cdlac[[#This Row],[Preservation Rent]]&lt;&gt;""),Cdlac[[#This Row],[Preservation Rent]],Cdlac[[#This Row],[Restricted Rent]])),"")</f>
        <v/>
      </c>
      <c r="T31" s="828" t="str">
        <f>IF(Cdlac[[#This Row],[Quantity]]&gt;0,AND(Application!AK729&lt;&gt;"N/A",Application!AK729&lt;&gt;"")*Cdlac[[#This Row],[Quantity]],"")</f>
        <v/>
      </c>
      <c r="U31" s="828" t="b">
        <f>AND('Subsidy Contract Calculation'!F15&gt;0,OR('Subsidy Contract Calculation'!C15="Federal",'Subsidy Contract Calculation'!C15="Local - Approved by ED"),Cdlac[[#This Row],[Quantity]]&gt;0)</f>
        <v>0</v>
      </c>
    </row>
    <row r="32" spans="1:21" ht="15" customHeight="1">
      <c r="A32" s="858"/>
      <c r="E32" s="901" t="s">
        <v>2614</v>
      </c>
      <c r="F32" s="897" t="s">
        <v>2615</v>
      </c>
      <c r="G32" s="899">
        <v>50000</v>
      </c>
      <c r="H32" s="858"/>
      <c r="I32" s="858"/>
      <c r="L32" s="828" t="str">
        <f>IFERROR(MIN(4,MATCH(Application!B730,UnitSizes,0)-1),"")</f>
        <v/>
      </c>
      <c r="M32" s="849">
        <f>Application!G730</f>
        <v>0</v>
      </c>
      <c r="N32" s="855">
        <f>Application!AC730</f>
        <v>0</v>
      </c>
      <c r="O32" s="855" t="str">
        <f>IF(Cdlac[[#This Row],[Quantity]]&gt;0,IF(Cdlac[[#This Row],[Federal]],30%,IF(AND(OR(NOT($G$38),$G$38=""),$G$43),40%,Cdlac[[#This Row],[iAMI]])),"")</f>
        <v/>
      </c>
      <c r="P32" s="849" t="str" cm="1">
        <f t="array" ref="P32">IF(Cdlac[[#This Row],[Quantity]]&gt;0,INDEX(TcacRents,$P$18,Cdlac[[#This Row],[Bedrooms]]+1)*Cdlac[[#This Row],[AMI]],"")</f>
        <v/>
      </c>
      <c r="Q32" s="946"/>
      <c r="R32" s="849" t="str" cm="1">
        <f t="array" ref="R32">IF(Cdlac[[#This Row],[Quantity]]&gt;0,INDEX(HudFmrs,$P$18,Cdlac[[#This Row],[Bedrooms]]+1),"")</f>
        <v/>
      </c>
      <c r="S32" s="849" t="str">
        <f>IF(Cdlac[[#This Row],[Quantity]]&gt;0,MAX(0,Cdlac[[#This Row],[Fair Market Rent]]-IF(AND($G$37,$G$38,$G$38&lt;&gt;"",NOT(Cdlac[[#This Row],[Federal]]),Cdlac[[#This Row],[Preservation Rent]]&lt;&gt;""),Cdlac[[#This Row],[Preservation Rent]],Cdlac[[#This Row],[Restricted Rent]])),"")</f>
        <v/>
      </c>
      <c r="T32" s="828" t="str">
        <f>IF(Cdlac[[#This Row],[Quantity]]&gt;0,AND(Application!AK730&lt;&gt;"N/A",Application!AK730&lt;&gt;"")*Cdlac[[#This Row],[Quantity]],"")</f>
        <v/>
      </c>
      <c r="U32" s="828" t="b">
        <f>AND('Subsidy Contract Calculation'!F16&gt;0,OR('Subsidy Contract Calculation'!C16="Federal",'Subsidy Contract Calculation'!C16="Local - Approved by ED"),Cdlac[[#This Row],[Quantity]]&gt;0)</f>
        <v>0</v>
      </c>
    </row>
    <row r="33" spans="1:21" ht="15" customHeight="1">
      <c r="A33" s="858"/>
      <c r="E33" s="902" t="s">
        <v>2616</v>
      </c>
      <c r="F33" s="830"/>
      <c r="G33" s="903">
        <f>G32*G31</f>
        <v>3362500</v>
      </c>
      <c r="H33" s="858"/>
      <c r="I33" s="858"/>
      <c r="L33" s="828" t="str">
        <f>IFERROR(MIN(4,MATCH(Application!B731,UnitSizes,0)-1),"")</f>
        <v/>
      </c>
      <c r="M33" s="849">
        <f>Application!G731</f>
        <v>0</v>
      </c>
      <c r="N33" s="855">
        <f>Application!AC731</f>
        <v>0</v>
      </c>
      <c r="O33" s="855" t="str">
        <f>IF(Cdlac[[#This Row],[Quantity]]&gt;0,IF(Cdlac[[#This Row],[Federal]],30%,IF(AND(OR(NOT($G$38),$G$38=""),$G$43),40%,Cdlac[[#This Row],[iAMI]])),"")</f>
        <v/>
      </c>
      <c r="P33" s="849" t="str" cm="1">
        <f t="array" ref="P33">IF(Cdlac[[#This Row],[Quantity]]&gt;0,INDEX(TcacRents,$P$18,Cdlac[[#This Row],[Bedrooms]]+1)*Cdlac[[#This Row],[AMI]],"")</f>
        <v/>
      </c>
      <c r="Q33" s="946"/>
      <c r="R33" s="849" t="str" cm="1">
        <f t="array" ref="R33">IF(Cdlac[[#This Row],[Quantity]]&gt;0,INDEX(HudFmrs,$P$18,Cdlac[[#This Row],[Bedrooms]]+1),"")</f>
        <v/>
      </c>
      <c r="S33" s="849" t="str">
        <f>IF(Cdlac[[#This Row],[Quantity]]&gt;0,MAX(0,Cdlac[[#This Row],[Fair Market Rent]]-IF(AND($G$37,$G$38,$G$38&lt;&gt;"",NOT(Cdlac[[#This Row],[Federal]]),Cdlac[[#This Row],[Preservation Rent]]&lt;&gt;""),Cdlac[[#This Row],[Preservation Rent]],Cdlac[[#This Row],[Restricted Rent]])),"")</f>
        <v/>
      </c>
      <c r="T33" s="828" t="str">
        <f>IF(Cdlac[[#This Row],[Quantity]]&gt;0,AND(Application!AK731&lt;&gt;"N/A",Application!AK731&lt;&gt;"")*Cdlac[[#This Row],[Quantity]],"")</f>
        <v/>
      </c>
      <c r="U33" s="828" t="b">
        <f>AND('Subsidy Contract Calculation'!F17&gt;0,OR('Subsidy Contract Calculation'!C17="Federal",'Subsidy Contract Calculation'!C17="Local - Approved by ED"),Cdlac[[#This Row],[Quantity]]&gt;0)</f>
        <v>0</v>
      </c>
    </row>
    <row r="34" spans="1:21" ht="15" customHeight="1">
      <c r="A34" s="858"/>
      <c r="B34" s="858"/>
      <c r="C34" s="858"/>
      <c r="D34" s="858"/>
      <c r="E34" s="858"/>
      <c r="F34" s="858"/>
      <c r="G34" s="858"/>
      <c r="H34" s="858"/>
      <c r="I34" s="858"/>
      <c r="L34" s="828" t="str">
        <f>IFERROR(MIN(4,MATCH(Application!B732,UnitSizes,0)-1),"")</f>
        <v/>
      </c>
      <c r="M34" s="849">
        <f>Application!G732</f>
        <v>0</v>
      </c>
      <c r="N34" s="855">
        <f>Application!AC732</f>
        <v>0</v>
      </c>
      <c r="O34" s="855" t="str">
        <f>IF(Cdlac[[#This Row],[Quantity]]&gt;0,IF(Cdlac[[#This Row],[Federal]],30%,IF(AND(OR(NOT($G$38),$G$38=""),$G$43),40%,Cdlac[[#This Row],[iAMI]])),"")</f>
        <v/>
      </c>
      <c r="P34" s="849" t="str" cm="1">
        <f t="array" ref="P34">IF(Cdlac[[#This Row],[Quantity]]&gt;0,INDEX(TcacRents,$P$18,Cdlac[[#This Row],[Bedrooms]]+1)*Cdlac[[#This Row],[AMI]],"")</f>
        <v/>
      </c>
      <c r="Q34" s="946"/>
      <c r="R34" s="849" t="str" cm="1">
        <f t="array" ref="R34">IF(Cdlac[[#This Row],[Quantity]]&gt;0,INDEX(HudFmrs,$P$18,Cdlac[[#This Row],[Bedrooms]]+1),"")</f>
        <v/>
      </c>
      <c r="S34" s="849" t="str">
        <f>IF(Cdlac[[#This Row],[Quantity]]&gt;0,MAX(0,Cdlac[[#This Row],[Fair Market Rent]]-IF(AND($G$37,$G$38,$G$38&lt;&gt;"",NOT(Cdlac[[#This Row],[Federal]]),Cdlac[[#This Row],[Preservation Rent]]&lt;&gt;""),Cdlac[[#This Row],[Preservation Rent]],Cdlac[[#This Row],[Restricted Rent]])),"")</f>
        <v/>
      </c>
      <c r="T34" s="828" t="str">
        <f>IF(Cdlac[[#This Row],[Quantity]]&gt;0,AND(Application!AK732&lt;&gt;"N/A",Application!AK732&lt;&gt;"")*Cdlac[[#This Row],[Quantity]],"")</f>
        <v/>
      </c>
      <c r="U34" s="828" t="b">
        <f>AND('Subsidy Contract Calculation'!F18&gt;0,OR('Subsidy Contract Calculation'!C18="Federal",'Subsidy Contract Calculation'!C18="Local - Approved by ED"),Cdlac[[#This Row],[Quantity]]&gt;0)</f>
        <v>0</v>
      </c>
    </row>
    <row r="35" spans="1:21" ht="15" customHeight="1">
      <c r="B35" s="850" t="str">
        <f>B10</f>
        <v>B. Rent Savings Benefit</v>
      </c>
      <c r="C35" s="851"/>
      <c r="D35" s="851"/>
      <c r="E35" s="851"/>
      <c r="F35" s="851"/>
      <c r="G35" s="851"/>
      <c r="H35" s="851"/>
      <c r="I35" s="852"/>
      <c r="L35" s="828" t="str">
        <f>IFERROR(MIN(4,MATCH(Application!B733,UnitSizes,0)-1),"")</f>
        <v/>
      </c>
      <c r="M35" s="849">
        <f>Application!G733</f>
        <v>0</v>
      </c>
      <c r="N35" s="855">
        <f>Application!AC733</f>
        <v>0</v>
      </c>
      <c r="O35" s="855" t="str">
        <f>IF(Cdlac[[#This Row],[Quantity]]&gt;0,IF(Cdlac[[#This Row],[Federal]],30%,IF(AND(OR(NOT($G$38),$G$38=""),$G$43),40%,Cdlac[[#This Row],[iAMI]])),"")</f>
        <v/>
      </c>
      <c r="P35" s="849" t="str" cm="1">
        <f t="array" ref="P35">IF(Cdlac[[#This Row],[Quantity]]&gt;0,INDEX(TcacRents,$P$18,Cdlac[[#This Row],[Bedrooms]]+1)*Cdlac[[#This Row],[AMI]],"")</f>
        <v/>
      </c>
      <c r="Q35" s="946"/>
      <c r="R35" s="849" t="str" cm="1">
        <f t="array" ref="R35">IF(Cdlac[[#This Row],[Quantity]]&gt;0,INDEX(HudFmrs,$P$18,Cdlac[[#This Row],[Bedrooms]]+1),"")</f>
        <v/>
      </c>
      <c r="S35" s="849" t="str">
        <f>IF(Cdlac[[#This Row],[Quantity]]&gt;0,MAX(0,Cdlac[[#This Row],[Fair Market Rent]]-IF(AND($G$37,$G$38,$G$38&lt;&gt;"",NOT(Cdlac[[#This Row],[Federal]]),Cdlac[[#This Row],[Preservation Rent]]&lt;&gt;""),Cdlac[[#This Row],[Preservation Rent]],Cdlac[[#This Row],[Restricted Rent]])),"")</f>
        <v/>
      </c>
      <c r="T35" s="828" t="str">
        <f>IF(Cdlac[[#This Row],[Quantity]]&gt;0,AND(Application!AK733&lt;&gt;"N/A",Application!AK733&lt;&gt;"")*Cdlac[[#This Row],[Quantity]],"")</f>
        <v/>
      </c>
      <c r="U35" s="828" t="b">
        <f>AND('Subsidy Contract Calculation'!F19&gt;0,OR('Subsidy Contract Calculation'!C19="Federal",'Subsidy Contract Calculation'!C19="Local - Approved by ED"),Cdlac[[#This Row],[Quantity]]&gt;0)</f>
        <v>0</v>
      </c>
    </row>
    <row r="36" spans="1:21" ht="15" customHeight="1">
      <c r="L36" s="828" t="str">
        <f>IFERROR(MIN(4,MATCH(Application!B734,UnitSizes,0)-1),"")</f>
        <v/>
      </c>
      <c r="M36" s="849">
        <f>Application!G734</f>
        <v>0</v>
      </c>
      <c r="N36" s="855">
        <f>Application!AC734</f>
        <v>0</v>
      </c>
      <c r="O36" s="855" t="str">
        <f>IF(Cdlac[[#This Row],[Quantity]]&gt;0,IF(Cdlac[[#This Row],[Federal]],30%,IF(AND(OR(NOT($G$38),$G$38=""),$G$43),40%,Cdlac[[#This Row],[iAMI]])),"")</f>
        <v/>
      </c>
      <c r="P36" s="849" t="str" cm="1">
        <f t="array" ref="P36">IF(Cdlac[[#This Row],[Quantity]]&gt;0,INDEX(TcacRents,$P$18,Cdlac[[#This Row],[Bedrooms]]+1)*Cdlac[[#This Row],[AMI]],"")</f>
        <v/>
      </c>
      <c r="Q36" s="946"/>
      <c r="R36" s="849" t="str" cm="1">
        <f t="array" ref="R36">IF(Cdlac[[#This Row],[Quantity]]&gt;0,INDEX(HudFmrs,$P$18,Cdlac[[#This Row],[Bedrooms]]+1),"")</f>
        <v/>
      </c>
      <c r="S36" s="849" t="str">
        <f>IF(Cdlac[[#This Row],[Quantity]]&gt;0,MAX(0,Cdlac[[#This Row],[Fair Market Rent]]-IF(AND($G$37,$G$38,$G$38&lt;&gt;"",NOT(Cdlac[[#This Row],[Federal]]),Cdlac[[#This Row],[Preservation Rent]]&lt;&gt;""),Cdlac[[#This Row],[Preservation Rent]],Cdlac[[#This Row],[Restricted Rent]])),"")</f>
        <v/>
      </c>
      <c r="T36" s="828" t="str">
        <f>IF(Cdlac[[#This Row],[Quantity]]&gt;0,AND(Application!AK734&lt;&gt;"N/A",Application!AK734&lt;&gt;"")*Cdlac[[#This Row],[Quantity]],"")</f>
        <v/>
      </c>
      <c r="U36" s="828" t="b">
        <f>AND('Subsidy Contract Calculation'!F20&gt;0,OR('Subsidy Contract Calculation'!C20="Federal",'Subsidy Contract Calculation'!C20="Local - Approved by ED"),Cdlac[[#This Row],[Quantity]]&gt;0)</f>
        <v>0</v>
      </c>
    </row>
    <row r="37" spans="1:21" ht="15" customHeight="1">
      <c r="E37" s="869" t="s">
        <v>2617</v>
      </c>
      <c r="G37" s="828" t="b">
        <f>OR('Points System'!B13="Yes",'Points System'!B16="Yes",'Points System'!B22="Yes",'Points System'!B25="Yes",'Points System'!B28="Yes",'Points System'!B33="Yes",'Points System'!B36="Yes",'Points System'!B40="Yes",'Points System'!B45="Yes")</f>
        <v>0</v>
      </c>
      <c r="L37" s="828" t="str">
        <f>IFERROR(MIN(4,MATCH(Application!B735,UnitSizes,0)-1),"")</f>
        <v/>
      </c>
      <c r="M37" s="849">
        <f>Application!G735</f>
        <v>0</v>
      </c>
      <c r="N37" s="855">
        <f>Application!AC735</f>
        <v>0</v>
      </c>
      <c r="O37" s="855" t="str">
        <f>IF(Cdlac[[#This Row],[Quantity]]&gt;0,IF(Cdlac[[#This Row],[Federal]],30%,IF(AND(OR(NOT($G$38),$G$38=""),$G$43),40%,Cdlac[[#This Row],[iAMI]])),"")</f>
        <v/>
      </c>
      <c r="P37" s="849" t="str" cm="1">
        <f t="array" ref="P37">IF(Cdlac[[#This Row],[Quantity]]&gt;0,INDEX(TcacRents,$P$18,Cdlac[[#This Row],[Bedrooms]]+1)*Cdlac[[#This Row],[AMI]],"")</f>
        <v/>
      </c>
      <c r="Q37" s="946"/>
      <c r="R37" s="849" t="str" cm="1">
        <f t="array" ref="R37">IF(Cdlac[[#This Row],[Quantity]]&gt;0,INDEX(HudFmrs,$P$18,Cdlac[[#This Row],[Bedrooms]]+1),"")</f>
        <v/>
      </c>
      <c r="S37" s="849" t="str">
        <f>IF(Cdlac[[#This Row],[Quantity]]&gt;0,MAX(0,Cdlac[[#This Row],[Fair Market Rent]]-IF(AND($G$37,$G$38,$G$38&lt;&gt;"",NOT(Cdlac[[#This Row],[Federal]]),Cdlac[[#This Row],[Preservation Rent]]&lt;&gt;""),Cdlac[[#This Row],[Preservation Rent]],Cdlac[[#This Row],[Restricted Rent]])),"")</f>
        <v/>
      </c>
      <c r="T37" s="828" t="str">
        <f>IF(Cdlac[[#This Row],[Quantity]]&gt;0,AND(Application!AK735&lt;&gt;"N/A",Application!AK735&lt;&gt;"")*Cdlac[[#This Row],[Quantity]],"")</f>
        <v/>
      </c>
      <c r="U37" s="828" t="b">
        <f>AND('Subsidy Contract Calculation'!F21&gt;0,OR('Subsidy Contract Calculation'!C21="Federal",'Subsidy Contract Calculation'!C21="Local - Approved by ED"),Cdlac[[#This Row],[Quantity]]&gt;0)</f>
        <v>0</v>
      </c>
    </row>
    <row r="38" spans="1:21" ht="15" customHeight="1">
      <c r="E38" s="869" t="s">
        <v>2618</v>
      </c>
      <c r="G38" s="945"/>
      <c r="L38" s="828" t="str">
        <f>IFERROR(MIN(4,MATCH(Application!B736,UnitSizes,0)-1),"")</f>
        <v/>
      </c>
      <c r="M38" s="849">
        <f>Application!G736</f>
        <v>0</v>
      </c>
      <c r="N38" s="855">
        <f>Application!AC736</f>
        <v>0</v>
      </c>
      <c r="O38" s="855" t="str">
        <f>IF(Cdlac[[#This Row],[Quantity]]&gt;0,IF(Cdlac[[#This Row],[Federal]],30%,IF(AND(OR(NOT($G$38),$G$38=""),$G$43),40%,Cdlac[[#This Row],[iAMI]])),"")</f>
        <v/>
      </c>
      <c r="P38" s="849" t="str" cm="1">
        <f t="array" ref="P38">IF(Cdlac[[#This Row],[Quantity]]&gt;0,INDEX(TcacRents,$P$18,Cdlac[[#This Row],[Bedrooms]]+1)*Cdlac[[#This Row],[AMI]],"")</f>
        <v/>
      </c>
      <c r="Q38" s="946"/>
      <c r="R38" s="849" t="str" cm="1">
        <f t="array" ref="R38">IF(Cdlac[[#This Row],[Quantity]]&gt;0,INDEX(HudFmrs,$P$18,Cdlac[[#This Row],[Bedrooms]]+1),"")</f>
        <v/>
      </c>
      <c r="S38" s="849" t="str">
        <f>IF(Cdlac[[#This Row],[Quantity]]&gt;0,MAX(0,Cdlac[[#This Row],[Fair Market Rent]]-IF(AND($G$37,$G$38,$G$38&lt;&gt;"",NOT(Cdlac[[#This Row],[Federal]]),Cdlac[[#This Row],[Preservation Rent]]&lt;&gt;""),Cdlac[[#This Row],[Preservation Rent]],Cdlac[[#This Row],[Restricted Rent]])),"")</f>
        <v/>
      </c>
      <c r="T38" s="828" t="str">
        <f>IF(Cdlac[[#This Row],[Quantity]]&gt;0,AND(Application!AK736&lt;&gt;"N/A",Application!AK736&lt;&gt;"")*Cdlac[[#This Row],[Quantity]],"")</f>
        <v/>
      </c>
      <c r="U38" s="828" t="b">
        <f>AND('Subsidy Contract Calculation'!F22&gt;0,OR('Subsidy Contract Calculation'!C22="Federal",'Subsidy Contract Calculation'!C22="Local - Approved by ED"),Cdlac[[#This Row],[Quantity]]&gt;0)</f>
        <v>0</v>
      </c>
    </row>
    <row r="39" spans="1:21" ht="15" customHeight="1">
      <c r="C39" s="2588" t="str">
        <f>IF(AND(G37,G38,G38&lt;&gt;""),"Enter the average rent charged for each unit type over the last three years, as documented with rent rolls or property audits, in cells Q20:Q44","")</f>
        <v/>
      </c>
      <c r="D39" s="2588"/>
      <c r="E39" s="2588"/>
      <c r="F39" s="2588"/>
      <c r="G39" s="2588"/>
      <c r="H39" s="2588"/>
      <c r="L39" s="828" t="str">
        <f>IFERROR(MIN(4,MATCH(Application!B737,UnitSizes,0)-1),"")</f>
        <v/>
      </c>
      <c r="M39" s="849">
        <f>Application!G737</f>
        <v>0</v>
      </c>
      <c r="N39" s="855">
        <f>Application!AC737</f>
        <v>0</v>
      </c>
      <c r="O39" s="855" t="str">
        <f>IF(Cdlac[[#This Row],[Quantity]]&gt;0,IF(Cdlac[[#This Row],[Federal]],30%,IF(AND(OR(NOT($G$38),$G$38=""),$G$43),40%,Cdlac[[#This Row],[iAMI]])),"")</f>
        <v/>
      </c>
      <c r="P39" s="849" t="str" cm="1">
        <f t="array" ref="P39">IF(Cdlac[[#This Row],[Quantity]]&gt;0,INDEX(TcacRents,$P$18,Cdlac[[#This Row],[Bedrooms]]+1)*Cdlac[[#This Row],[AMI]],"")</f>
        <v/>
      </c>
      <c r="Q39" s="946"/>
      <c r="R39" s="849" t="str" cm="1">
        <f t="array" ref="R39">IF(Cdlac[[#This Row],[Quantity]]&gt;0,INDEX(HudFmrs,$P$18,Cdlac[[#This Row],[Bedrooms]]+1),"")</f>
        <v/>
      </c>
      <c r="S39" s="849" t="str">
        <f>IF(Cdlac[[#This Row],[Quantity]]&gt;0,MAX(0,Cdlac[[#This Row],[Fair Market Rent]]-IF(AND($G$37,$G$38,$G$38&lt;&gt;"",NOT(Cdlac[[#This Row],[Federal]]),Cdlac[[#This Row],[Preservation Rent]]&lt;&gt;""),Cdlac[[#This Row],[Preservation Rent]],Cdlac[[#This Row],[Restricted Rent]])),"")</f>
        <v/>
      </c>
      <c r="T39" s="828" t="str">
        <f>IF(Cdlac[[#This Row],[Quantity]]&gt;0,AND(Application!AK737&lt;&gt;"N/A",Application!AK737&lt;&gt;"")*Cdlac[[#This Row],[Quantity]],"")</f>
        <v/>
      </c>
      <c r="U39" s="828" t="b">
        <f>AND('Subsidy Contract Calculation'!F23&gt;0,OR('Subsidy Contract Calculation'!C23="Federal",'Subsidy Contract Calculation'!C23="Local - Approved by ED"),Cdlac[[#This Row],[Quantity]]&gt;0)</f>
        <v>0</v>
      </c>
    </row>
    <row r="40" spans="1:21" ht="15" customHeight="1">
      <c r="C40" s="2588"/>
      <c r="D40" s="2588"/>
      <c r="E40" s="2588"/>
      <c r="F40" s="2588"/>
      <c r="G40" s="2588"/>
      <c r="H40" s="2588"/>
      <c r="L40" s="828" t="str">
        <f>IFERROR(MIN(4,MATCH(Application!B738,UnitSizes,0)-1),"")</f>
        <v/>
      </c>
      <c r="M40" s="849">
        <f>Application!G738</f>
        <v>0</v>
      </c>
      <c r="N40" s="855">
        <f>Application!AC738</f>
        <v>0</v>
      </c>
      <c r="O40" s="855" t="str">
        <f>IF(Cdlac[[#This Row],[Quantity]]&gt;0,IF(Cdlac[[#This Row],[Federal]],30%,IF(AND(OR(NOT($G$38),$G$38=""),$G$43),40%,Cdlac[[#This Row],[iAMI]])),"")</f>
        <v/>
      </c>
      <c r="P40" s="849" t="str" cm="1">
        <f t="array" ref="P40">IF(Cdlac[[#This Row],[Quantity]]&gt;0,INDEX(TcacRents,$P$18,Cdlac[[#This Row],[Bedrooms]]+1)*Cdlac[[#This Row],[AMI]],"")</f>
        <v/>
      </c>
      <c r="Q40" s="946"/>
      <c r="R40" s="849" t="str" cm="1">
        <f t="array" ref="R40">IF(Cdlac[[#This Row],[Quantity]]&gt;0,INDEX(HudFmrs,$P$18,Cdlac[[#This Row],[Bedrooms]]+1),"")</f>
        <v/>
      </c>
      <c r="S40" s="849" t="str">
        <f>IF(Cdlac[[#This Row],[Quantity]]&gt;0,MAX(0,Cdlac[[#This Row],[Fair Market Rent]]-IF(AND($G$37,$G$38,$G$38&lt;&gt;"",NOT(Cdlac[[#This Row],[Federal]]),Cdlac[[#This Row],[Preservation Rent]]&lt;&gt;""),Cdlac[[#This Row],[Preservation Rent]],Cdlac[[#This Row],[Restricted Rent]])),"")</f>
        <v/>
      </c>
      <c r="T40" s="828" t="str">
        <f>IF(Cdlac[[#This Row],[Quantity]]&gt;0,AND(Application!AK738&lt;&gt;"N/A",Application!AK738&lt;&gt;"")*Cdlac[[#This Row],[Quantity]],"")</f>
        <v/>
      </c>
      <c r="U40" s="828" t="b">
        <f>AND('Subsidy Contract Calculation'!F24&gt;0,OR('Subsidy Contract Calculation'!C24="Federal",'Subsidy Contract Calculation'!C24="Local - Approved by ED"),Cdlac[[#This Row],[Quantity]]&gt;0)</f>
        <v>0</v>
      </c>
    </row>
    <row r="41" spans="1:21" ht="15" customHeight="1">
      <c r="C41" s="2588"/>
      <c r="D41" s="2588"/>
      <c r="E41" s="2588"/>
      <c r="F41" s="2588"/>
      <c r="G41" s="2588"/>
      <c r="H41" s="2588"/>
      <c r="L41" s="828" t="str">
        <f>IFERROR(MIN(4,MATCH(Application!B739,UnitSizes,0)-1),"")</f>
        <v/>
      </c>
      <c r="M41" s="849">
        <f>Application!G739</f>
        <v>0</v>
      </c>
      <c r="N41" s="855">
        <f>Application!AC739</f>
        <v>0</v>
      </c>
      <c r="O41" s="855" t="str">
        <f>IF(Cdlac[[#This Row],[Quantity]]&gt;0,IF(Cdlac[[#This Row],[Federal]],30%,IF(AND(OR(NOT($G$38),$G$38=""),$G$43),40%,Cdlac[[#This Row],[iAMI]])),"")</f>
        <v/>
      </c>
      <c r="P41" s="849" t="str" cm="1">
        <f t="array" ref="P41">IF(Cdlac[[#This Row],[Quantity]]&gt;0,INDEX(TcacRents,$P$18,Cdlac[[#This Row],[Bedrooms]]+1)*Cdlac[[#This Row],[AMI]],"")</f>
        <v/>
      </c>
      <c r="Q41" s="946"/>
      <c r="R41" s="849" t="str" cm="1">
        <f t="array" ref="R41">IF(Cdlac[[#This Row],[Quantity]]&gt;0,INDEX(HudFmrs,$P$18,Cdlac[[#This Row],[Bedrooms]]+1),"")</f>
        <v/>
      </c>
      <c r="S41" s="849" t="str">
        <f>IF(Cdlac[[#This Row],[Quantity]]&gt;0,MAX(0,Cdlac[[#This Row],[Fair Market Rent]]-IF(AND($G$37,$G$38,$G$38&lt;&gt;"",NOT(Cdlac[[#This Row],[Federal]]),Cdlac[[#This Row],[Preservation Rent]]&lt;&gt;""),Cdlac[[#This Row],[Preservation Rent]],Cdlac[[#This Row],[Restricted Rent]])),"")</f>
        <v/>
      </c>
      <c r="T41" s="828" t="str">
        <f>IF(Cdlac[[#This Row],[Quantity]]&gt;0,AND(Application!AK739&lt;&gt;"N/A",Application!AK739&lt;&gt;"")*Cdlac[[#This Row],[Quantity]],"")</f>
        <v/>
      </c>
      <c r="U41" s="828" t="b">
        <f>AND('Subsidy Contract Calculation'!F25&gt;0,OR('Subsidy Contract Calculation'!C25="Federal",'Subsidy Contract Calculation'!C25="Local - Approved by ED"),Cdlac[[#This Row],[Quantity]]&gt;0)</f>
        <v>0</v>
      </c>
    </row>
    <row r="42" spans="1:21" ht="15" customHeight="1">
      <c r="E42" s="869" t="s">
        <v>2619</v>
      </c>
      <c r="G42" s="904" cm="1">
        <f t="array" ref="G42">SUMPRODUCT(Cdlac[Quantity],Cdlac[iAMI],IF(Cdlac[Federal],0,1))/SUMIFS(Cdlac[Quantity],Cdlac[Federal],FALSE)</f>
        <v>0.6</v>
      </c>
      <c r="L42" s="828" t="str">
        <f>IFERROR(MIN(4,MATCH(Application!B740,UnitSizes,0)-1),"")</f>
        <v/>
      </c>
      <c r="M42" s="849">
        <f>Application!G740</f>
        <v>0</v>
      </c>
      <c r="N42" s="855">
        <f>Application!AC740</f>
        <v>0</v>
      </c>
      <c r="O42" s="855" t="str">
        <f>IF(Cdlac[[#This Row],[Quantity]]&gt;0,IF(Cdlac[[#This Row],[Federal]],30%,IF(AND(OR(NOT($G$38),$G$38=""),$G$43),40%,Cdlac[[#This Row],[iAMI]])),"")</f>
        <v/>
      </c>
      <c r="P42" s="849" t="str" cm="1">
        <f t="array" ref="P42">IF(Cdlac[[#This Row],[Quantity]]&gt;0,INDEX(TcacRents,$P$18,Cdlac[[#This Row],[Bedrooms]]+1)*Cdlac[[#This Row],[AMI]],"")</f>
        <v/>
      </c>
      <c r="Q42" s="946"/>
      <c r="R42" s="849" t="str" cm="1">
        <f t="array" ref="R42">IF(Cdlac[[#This Row],[Quantity]]&gt;0,INDEX(HudFmrs,$P$18,Cdlac[[#This Row],[Bedrooms]]+1),"")</f>
        <v/>
      </c>
      <c r="S42" s="849" t="str">
        <f>IF(Cdlac[[#This Row],[Quantity]]&gt;0,MAX(0,Cdlac[[#This Row],[Fair Market Rent]]-IF(AND($G$37,$G$38,$G$38&lt;&gt;"",NOT(Cdlac[[#This Row],[Federal]]),Cdlac[[#This Row],[Preservation Rent]]&lt;&gt;""),Cdlac[[#This Row],[Preservation Rent]],Cdlac[[#This Row],[Restricted Rent]])),"")</f>
        <v/>
      </c>
      <c r="T42" s="828" t="str">
        <f>IF(Cdlac[[#This Row],[Quantity]]&gt;0,AND(Application!AK740&lt;&gt;"N/A",Application!AK740&lt;&gt;"")*Cdlac[[#This Row],[Quantity]],"")</f>
        <v/>
      </c>
      <c r="U42" s="828" t="b">
        <f>AND('Subsidy Contract Calculation'!F26&gt;0,OR('Subsidy Contract Calculation'!C26="Federal",'Subsidy Contract Calculation'!C26="Local - Approved by ED"),Cdlac[[#This Row],[Quantity]]&gt;0)</f>
        <v>0</v>
      </c>
    </row>
    <row r="43" spans="1:21" ht="15" customHeight="1">
      <c r="E43" s="869" t="s">
        <v>2620</v>
      </c>
      <c r="G43" s="865" t="b">
        <f>G42&lt;40%</f>
        <v>0</v>
      </c>
      <c r="L43" s="828" t="str">
        <f>IFERROR(MIN(4,MATCH(Application!B741,UnitSizes,0)-1),"")</f>
        <v/>
      </c>
      <c r="M43" s="849">
        <f>Application!G741</f>
        <v>0</v>
      </c>
      <c r="N43" s="855">
        <f>Application!AC741</f>
        <v>0</v>
      </c>
      <c r="O43" s="855" t="str">
        <f>IF(Cdlac[[#This Row],[Quantity]]&gt;0,IF(Cdlac[[#This Row],[Federal]],30%,IF(AND(OR(NOT($G$38),$G$38=""),$G$43),40%,Cdlac[[#This Row],[iAMI]])),"")</f>
        <v/>
      </c>
      <c r="P43" s="849" t="str" cm="1">
        <f t="array" ref="P43">IF(Cdlac[[#This Row],[Quantity]]&gt;0,INDEX(TcacRents,$P$18,Cdlac[[#This Row],[Bedrooms]]+1)*Cdlac[[#This Row],[AMI]],"")</f>
        <v/>
      </c>
      <c r="Q43" s="946"/>
      <c r="R43" s="849" t="str" cm="1">
        <f t="array" ref="R43">IF(Cdlac[[#This Row],[Quantity]]&gt;0,INDEX(HudFmrs,$P$18,Cdlac[[#This Row],[Bedrooms]]+1),"")</f>
        <v/>
      </c>
      <c r="S43" s="849" t="str">
        <f>IF(Cdlac[[#This Row],[Quantity]]&gt;0,MAX(0,Cdlac[[#This Row],[Fair Market Rent]]-IF(AND($G$37,$G$38,$G$38&lt;&gt;"",NOT(Cdlac[[#This Row],[Federal]]),Cdlac[[#This Row],[Preservation Rent]]&lt;&gt;""),Cdlac[[#This Row],[Preservation Rent]],Cdlac[[#This Row],[Restricted Rent]])),"")</f>
        <v/>
      </c>
      <c r="T43" s="828" t="str">
        <f>IF(Cdlac[[#This Row],[Quantity]]&gt;0,AND(Application!AK741&lt;&gt;"N/A",Application!AK741&lt;&gt;"")*Cdlac[[#This Row],[Quantity]],"")</f>
        <v/>
      </c>
      <c r="U43" s="828" t="b">
        <f>AND('Subsidy Contract Calculation'!F27&gt;0,OR('Subsidy Contract Calculation'!C27="Federal",'Subsidy Contract Calculation'!C27="Local - Approved by ED"),Cdlac[[#This Row],[Quantity]]&gt;0)</f>
        <v>0</v>
      </c>
    </row>
    <row r="44" spans="1:21" ht="15" customHeight="1">
      <c r="L44" s="828" t="str">
        <f>IFERROR(MIN(4,MATCH(Application!B752,UnitSizes,0)-1),"")</f>
        <v/>
      </c>
      <c r="M44" s="849">
        <f>Application!G752</f>
        <v>0</v>
      </c>
      <c r="N44" s="855">
        <f>Application!AC752</f>
        <v>0</v>
      </c>
      <c r="O44" s="866" t="str">
        <f>IF(Cdlac[[#This Row],[Quantity]]&gt;0,IF(Cdlac[[#This Row],[Federal]],30%,IF(AND(OR(NOT($G$38),$G$38=""),$G$43),40%,Cdlac[[#This Row],[iAMI]])),"")</f>
        <v/>
      </c>
      <c r="P44" s="849" t="str" cm="1">
        <f t="array" ref="P44">IF(Cdlac[[#This Row],[Quantity]]&gt;0,INDEX(TcacRents,$P$18,Cdlac[[#This Row],[Bedrooms]]+1)*Cdlac[[#This Row],[AMI]],"")</f>
        <v/>
      </c>
      <c r="Q44" s="946"/>
      <c r="R44" s="849" t="str" cm="1">
        <f t="array" ref="R44">IF(Cdlac[[#This Row],[Quantity]]&gt;0,INDEX(HudFmrs,$P$18,Cdlac[[#This Row],[Bedrooms]]+1),"")</f>
        <v/>
      </c>
      <c r="S44" s="849" t="str">
        <f>IF(Cdlac[[#This Row],[Quantity]]&gt;0,MAX(0,Cdlac[[#This Row],[Fair Market Rent]]-IF(AND($G$37,$G$38,$G$38&lt;&gt;"",NOT(Cdlac[[#This Row],[Federal]]),Cdlac[[#This Row],[Preservation Rent]]&lt;&gt;""),Cdlac[[#This Row],[Preservation Rent]],Cdlac[[#This Row],[Restricted Rent]])),"")</f>
        <v/>
      </c>
      <c r="T44" s="828" t="str">
        <f>IF(Cdlac[[#This Row],[Quantity]]&gt;0,AND(Application!AK752&lt;&gt;"N/A",Application!AK752&lt;&gt;"")*Cdlac[[#This Row],[Quantity]],"")</f>
        <v/>
      </c>
      <c r="U44" s="828" t="b">
        <f>AND('Subsidy Contract Calculation'!F28&gt;0,OR('Subsidy Contract Calculation'!C28="Federal",'Subsidy Contract Calculation'!C28="Local - Approved by ED"),Cdlac[[#This Row],[Quantity]]&gt;0)</f>
        <v>0</v>
      </c>
    </row>
    <row r="45" spans="1:21" ht="15" customHeight="1">
      <c r="E45" s="869" t="s">
        <v>2621</v>
      </c>
      <c r="G45" s="862">
        <f>IFERROR(SUMPRODUCT(Cdlac[Quantity],Cdlac[Delta]),0)</f>
        <v>82713.400000000009</v>
      </c>
    </row>
    <row r="46" spans="1:21" ht="15" customHeight="1">
      <c r="E46" s="901" t="s">
        <v>2622</v>
      </c>
      <c r="F46" s="897" t="s">
        <v>2615</v>
      </c>
      <c r="G46" s="905">
        <f>12*15</f>
        <v>180</v>
      </c>
    </row>
    <row r="47" spans="1:21" ht="15" customHeight="1">
      <c r="E47" s="906" t="s">
        <v>2623</v>
      </c>
      <c r="F47" s="830"/>
      <c r="G47" s="907">
        <f>G45*G46</f>
        <v>14888412.000000002</v>
      </c>
    </row>
    <row r="48" spans="1:21" ht="15" customHeight="1"/>
    <row r="49" spans="2:9" ht="15" customHeight="1">
      <c r="B49" s="850" t="str">
        <f>B11&amp;": "&amp;B12</f>
        <v>C. Population Benefit: (1) Special Needs Population Benefit</v>
      </c>
      <c r="C49" s="851"/>
      <c r="D49" s="851"/>
      <c r="E49" s="851"/>
      <c r="F49" s="851"/>
      <c r="G49" s="851"/>
      <c r="H49" s="851"/>
      <c r="I49" s="852"/>
    </row>
    <row r="50" spans="2:9" ht="15" customHeight="1"/>
    <row r="51" spans="2:9" ht="15" customHeight="1">
      <c r="E51" s="901" t="s">
        <v>2624</v>
      </c>
      <c r="G51" s="898">
        <f>T18</f>
        <v>0</v>
      </c>
    </row>
    <row r="52" spans="2:9" ht="15" customHeight="1">
      <c r="E52" s="901" t="s">
        <v>2625</v>
      </c>
      <c r="G52" s="898">
        <f>ROUNDDOWN(E29*50%,0)</f>
        <v>26</v>
      </c>
    </row>
    <row r="53" spans="2:9" ht="15" customHeight="1">
      <c r="E53" s="901"/>
      <c r="G53" s="909"/>
    </row>
    <row r="54" spans="2:9" ht="15" customHeight="1">
      <c r="E54" s="901" t="s">
        <v>2626</v>
      </c>
      <c r="G54" s="898">
        <f>MIN(G51:G52)</f>
        <v>0</v>
      </c>
    </row>
    <row r="55" spans="2:9" ht="15" customHeight="1">
      <c r="E55" s="901" t="s">
        <v>2614</v>
      </c>
      <c r="F55" s="897" t="s">
        <v>2615</v>
      </c>
      <c r="G55" s="908">
        <v>10000</v>
      </c>
    </row>
    <row r="56" spans="2:9" ht="15" customHeight="1">
      <c r="E56" s="902" t="s">
        <v>2627</v>
      </c>
      <c r="F56" s="830"/>
      <c r="G56" s="907">
        <f>G54*G55</f>
        <v>0</v>
      </c>
    </row>
    <row r="57" spans="2:9" ht="15" customHeight="1"/>
    <row r="58" spans="2:9" ht="15" customHeight="1">
      <c r="B58" s="850" t="str">
        <f>B11&amp;": "&amp;B13</f>
        <v>C. Population Benefit: (2) Extremely Low Income Benefit</v>
      </c>
      <c r="C58" s="851"/>
      <c r="D58" s="851"/>
      <c r="E58" s="851"/>
      <c r="F58" s="851"/>
      <c r="G58" s="851"/>
      <c r="H58" s="851"/>
      <c r="I58" s="852"/>
    </row>
    <row r="59" spans="2:9" ht="15" customHeight="1"/>
    <row r="60" spans="2:9" ht="15" customHeight="1">
      <c r="E60" s="901" t="s">
        <v>2628</v>
      </c>
      <c r="G60" s="863">
        <f>SUMIFS(Cdlac[Quantity],Cdlac[iAMI],"&lt;=30%")</f>
        <v>25</v>
      </c>
    </row>
    <row r="61" spans="2:9" ht="15" customHeight="1">
      <c r="E61" s="901" t="s">
        <v>2625</v>
      </c>
      <c r="G61" s="863">
        <f>ROUNDDOWN(E29*50%,0)</f>
        <v>26</v>
      </c>
    </row>
    <row r="62" spans="2:9" ht="15" customHeight="1">
      <c r="E62" s="901"/>
      <c r="G62" s="863"/>
    </row>
    <row r="63" spans="2:9" ht="15" customHeight="1">
      <c r="E63" s="901" t="s">
        <v>2626</v>
      </c>
      <c r="G63" s="898">
        <f>MIN(G60:G61)</f>
        <v>25</v>
      </c>
    </row>
    <row r="64" spans="2:9" ht="15" customHeight="1">
      <c r="E64" s="901" t="s">
        <v>2614</v>
      </c>
      <c r="F64" s="897" t="s">
        <v>2615</v>
      </c>
      <c r="G64" s="908">
        <v>20000</v>
      </c>
    </row>
    <row r="65" spans="2:14" ht="15" customHeight="1">
      <c r="E65" s="902" t="s">
        <v>2629</v>
      </c>
      <c r="F65" s="830"/>
      <c r="G65" s="907">
        <f>G63*G64</f>
        <v>500000</v>
      </c>
    </row>
    <row r="66" spans="2:14" ht="15" customHeight="1"/>
    <row r="67" spans="2:14" ht="15" customHeight="1">
      <c r="B67" s="850" t="str">
        <f>B14&amp;": "&amp;B15</f>
        <v>D. Location Benefit: (1) Resource Area Benefit</v>
      </c>
      <c r="C67" s="851"/>
      <c r="D67" s="851"/>
      <c r="E67" s="851"/>
      <c r="F67" s="851"/>
      <c r="G67" s="851"/>
      <c r="H67" s="851"/>
      <c r="I67" s="852"/>
    </row>
    <row r="68" spans="2:14" ht="15" customHeight="1"/>
    <row r="69" spans="2:14" ht="15" customHeight="1">
      <c r="C69" s="861" t="s">
        <v>2630</v>
      </c>
      <c r="G69" s="827" t="s">
        <v>847</v>
      </c>
    </row>
    <row r="70" spans="2:14" ht="15" customHeight="1">
      <c r="C70" s="861" t="s">
        <v>2631</v>
      </c>
      <c r="G70" s="865" t="str">
        <f>IF(Application!D211="Large Family","Yes","No")</f>
        <v>Yes</v>
      </c>
    </row>
    <row r="71" spans="2:14" ht="15" customHeight="1" thickBot="1">
      <c r="C71" s="861" t="s">
        <v>2632</v>
      </c>
      <c r="G71" s="827"/>
    </row>
    <row r="72" spans="2:14" ht="15" customHeight="1">
      <c r="C72" s="861" t="s">
        <v>2633</v>
      </c>
      <c r="G72" s="828" t="str">
        <f>Application!T193</f>
        <v>Low Resource</v>
      </c>
      <c r="L72" s="2596" t="s">
        <v>881</v>
      </c>
      <c r="M72" s="2597"/>
      <c r="N72" s="915">
        <v>30000</v>
      </c>
    </row>
    <row r="73" spans="2:14" ht="15" customHeight="1">
      <c r="C73" s="2598" t="s">
        <v>2634</v>
      </c>
      <c r="D73" s="2598"/>
      <c r="E73" s="2598"/>
      <c r="F73" s="2598"/>
      <c r="G73" s="827"/>
      <c r="L73" s="2607" t="s">
        <v>885</v>
      </c>
      <c r="M73" s="2608"/>
      <c r="N73" s="916">
        <v>20000</v>
      </c>
    </row>
    <row r="74" spans="2:14" ht="15" customHeight="1" thickBot="1">
      <c r="C74" s="2598"/>
      <c r="D74" s="2598"/>
      <c r="E74" s="2598"/>
      <c r="F74" s="2598"/>
      <c r="L74" s="2609" t="s">
        <v>892</v>
      </c>
      <c r="M74" s="2610"/>
      <c r="N74" s="917">
        <v>10000</v>
      </c>
    </row>
    <row r="75" spans="2:14" ht="15" customHeight="1">
      <c r="C75" s="861"/>
    </row>
    <row r="76" spans="2:14" ht="15" customHeight="1">
      <c r="E76" s="869" t="s">
        <v>2635</v>
      </c>
      <c r="G76" s="863" t="b">
        <f>OR(AND(COUNTIFS(G70:G71,"Yes")&gt;=1,G69="Yes"),G73="Yes")</f>
        <v>1</v>
      </c>
    </row>
    <row r="77" spans="2:14" ht="15" customHeight="1">
      <c r="E77" s="869"/>
      <c r="G77" s="863"/>
    </row>
    <row r="78" spans="2:14" ht="15" customHeight="1">
      <c r="E78" s="869" t="s">
        <v>2614</v>
      </c>
      <c r="G78" s="862">
        <f>IFERROR(IF($G$73="Yes",30000,INDEX(N72:N74,MATCH(LEFT(G72,17),L72:L74,0))),0)</f>
        <v>0</v>
      </c>
    </row>
    <row r="79" spans="2:14" ht="15" customHeight="1">
      <c r="E79" s="869" t="str">
        <f>E96</f>
        <v>Bedroom-Adjusted Low-Income Units</v>
      </c>
      <c r="F79" s="897" t="s">
        <v>2615</v>
      </c>
      <c r="G79" s="898">
        <f>G29</f>
        <v>67.25</v>
      </c>
    </row>
    <row r="80" spans="2:14" ht="15" customHeight="1">
      <c r="D80" s="830"/>
      <c r="E80" s="902" t="s">
        <v>2636</v>
      </c>
      <c r="F80" s="830"/>
      <c r="G80" s="907">
        <f>G79*G78*G76</f>
        <v>0</v>
      </c>
    </row>
    <row r="81" spans="2:9" ht="15" customHeight="1"/>
    <row r="82" spans="2:9" ht="15" customHeight="1">
      <c r="B82" s="850" t="str">
        <f>B14&amp;": "&amp;B16</f>
        <v>D. Location Benefit: (2) Community Revitalization Benefit</v>
      </c>
      <c r="C82" s="851"/>
      <c r="D82" s="851"/>
      <c r="E82" s="851"/>
      <c r="F82" s="851"/>
      <c r="G82" s="851"/>
      <c r="H82" s="851"/>
      <c r="I82" s="852"/>
    </row>
    <row r="83" spans="2:9" ht="15" customHeight="1"/>
    <row r="84" spans="2:9" ht="15" customHeight="1">
      <c r="F84" s="900" t="s">
        <v>2637</v>
      </c>
      <c r="G84" s="827"/>
    </row>
    <row r="85" spans="2:9" ht="15" customHeight="1">
      <c r="F85" s="900"/>
    </row>
    <row r="86" spans="2:9" ht="15" customHeight="1">
      <c r="E86" s="869" t="s">
        <v>2635</v>
      </c>
      <c r="G86" s="863" t="b">
        <f>G84="Yes"</f>
        <v>0</v>
      </c>
    </row>
    <row r="87" spans="2:9" ht="15" customHeight="1"/>
    <row r="88" spans="2:9" ht="15" customHeight="1">
      <c r="E88" s="869" t="str">
        <f>E96</f>
        <v>Bedroom-Adjusted Low-Income Units</v>
      </c>
      <c r="G88" s="898">
        <f>G29</f>
        <v>67.25</v>
      </c>
    </row>
    <row r="89" spans="2:9" ht="15" customHeight="1">
      <c r="E89" s="869" t="s">
        <v>2614</v>
      </c>
      <c r="F89" s="897" t="s">
        <v>2615</v>
      </c>
      <c r="G89" s="834">
        <v>20000</v>
      </c>
    </row>
    <row r="90" spans="2:9" ht="15" customHeight="1">
      <c r="E90" s="902" t="s">
        <v>2638</v>
      </c>
      <c r="F90" s="830"/>
      <c r="G90" s="907">
        <f>G86*G89*G88</f>
        <v>0</v>
      </c>
    </row>
    <row r="91" spans="2:9" ht="15" customHeight="1"/>
    <row r="92" spans="2:9" ht="15" customHeight="1">
      <c r="B92" s="850" t="str">
        <f>B14&amp;": "&amp;B17</f>
        <v>D. Location Benefit: (3) Transit/Walkability Benefit</v>
      </c>
      <c r="C92" s="851"/>
      <c r="D92" s="851"/>
      <c r="E92" s="851"/>
      <c r="F92" s="851"/>
      <c r="G92" s="851"/>
      <c r="H92" s="851"/>
      <c r="I92" s="852"/>
    </row>
    <row r="93" spans="2:9" ht="15" customHeight="1"/>
    <row r="94" spans="2:9" ht="15" customHeight="1">
      <c r="E94" s="869" t="s">
        <v>2639</v>
      </c>
      <c r="G94" s="898">
        <f>VLOOKUP('Points System'!$H$606,'Points System'!$AO$586:$AP$591,2,FALSE)</f>
        <v>3</v>
      </c>
    </row>
    <row r="95" spans="2:9" ht="15" customHeight="1">
      <c r="E95" s="869" t="s">
        <v>2614</v>
      </c>
      <c r="F95" s="897" t="s">
        <v>2615</v>
      </c>
      <c r="G95" s="860">
        <v>4000</v>
      </c>
    </row>
    <row r="96" spans="2:9" ht="15" customHeight="1" thickBot="1">
      <c r="E96" s="869" t="s">
        <v>2640</v>
      </c>
      <c r="F96" s="897" t="s">
        <v>2615</v>
      </c>
      <c r="G96" s="910">
        <f>G29</f>
        <v>67.25</v>
      </c>
    </row>
    <row r="97" spans="2:14" ht="15" customHeight="1">
      <c r="E97" s="902" t="s">
        <v>2641</v>
      </c>
      <c r="F97" s="830"/>
      <c r="G97" s="907">
        <f>G94*G95*G96</f>
        <v>807000</v>
      </c>
      <c r="L97" s="911" t="str">
        <f>'Points System'!H638</f>
        <v>(i)</v>
      </c>
      <c r="M97" s="2615" t="s">
        <v>2492</v>
      </c>
      <c r="N97" s="2616"/>
    </row>
    <row r="98" spans="2:14" ht="15" customHeight="1">
      <c r="C98" s="861"/>
      <c r="G98" s="898"/>
      <c r="L98" s="912" t="str">
        <f>'Points System'!H650</f>
        <v>(ii)</v>
      </c>
      <c r="M98" s="2611" t="s">
        <v>2642</v>
      </c>
      <c r="N98" s="2612"/>
    </row>
    <row r="99" spans="2:14" ht="15" customHeight="1">
      <c r="E99" s="869" t="s">
        <v>2643</v>
      </c>
      <c r="G99" s="910">
        <f>COUNTIFS(L97:L104,"(i)")</f>
        <v>3</v>
      </c>
      <c r="L99" s="912" t="str">
        <f>'Points System'!H685</f>
        <v>(ii)</v>
      </c>
      <c r="M99" s="2611" t="s">
        <v>2644</v>
      </c>
      <c r="N99" s="2612"/>
    </row>
    <row r="100" spans="2:14" ht="15" customHeight="1">
      <c r="E100" s="869" t="s">
        <v>2614</v>
      </c>
      <c r="F100" s="897" t="s">
        <v>2615</v>
      </c>
      <c r="G100" s="908">
        <v>4000</v>
      </c>
      <c r="L100" s="912" t="str">
        <f>IF(OR('Points System'!H709="(ii)",'Points System'!H709="(i)"),"(i)","N/A")</f>
        <v>(i)</v>
      </c>
      <c r="M100" s="2611" t="s">
        <v>2645</v>
      </c>
      <c r="N100" s="2612"/>
    </row>
    <row r="101" spans="2:14" ht="15" customHeight="1">
      <c r="E101" s="902" t="s">
        <v>2646</v>
      </c>
      <c r="F101" s="830"/>
      <c r="G101" s="907">
        <f>G96*G99*G100</f>
        <v>807000</v>
      </c>
      <c r="L101" s="913" t="str">
        <f>'Points System'!H723</f>
        <v>N/A</v>
      </c>
      <c r="M101" s="2611" t="s">
        <v>2532</v>
      </c>
      <c r="N101" s="2612"/>
    </row>
    <row r="102" spans="2:14" ht="15" customHeight="1">
      <c r="L102" s="912" t="str">
        <f>'Points System'!H735</f>
        <v>N/A</v>
      </c>
      <c r="M102" s="2611" t="s">
        <v>2647</v>
      </c>
      <c r="N102" s="2612"/>
    </row>
    <row r="103" spans="2:14" ht="15" customHeight="1">
      <c r="C103" s="864" t="s">
        <v>2648</v>
      </c>
      <c r="L103" s="912" t="str">
        <f>'Points System'!H751</f>
        <v>(i)</v>
      </c>
      <c r="M103" s="2611" t="s">
        <v>2649</v>
      </c>
      <c r="N103" s="2612"/>
    </row>
    <row r="104" spans="2:14" ht="15" customHeight="1" thickBot="1">
      <c r="C104" s="861" t="s">
        <v>2650</v>
      </c>
      <c r="G104" s="827"/>
      <c r="L104" s="914" t="str">
        <f>'Points System'!H763</f>
        <v>(ii)</v>
      </c>
      <c r="M104" s="2613" t="s">
        <v>2536</v>
      </c>
      <c r="N104" s="2614"/>
    </row>
    <row r="105" spans="2:14" ht="15" customHeight="1">
      <c r="C105" s="861" t="s">
        <v>2651</v>
      </c>
      <c r="G105" s="827"/>
    </row>
    <row r="106" spans="2:14" ht="15" customHeight="1">
      <c r="C106" s="861" t="s">
        <v>2652</v>
      </c>
      <c r="G106" s="827"/>
    </row>
    <row r="107" spans="2:14" ht="15" customHeight="1">
      <c r="C107" s="861" t="s">
        <v>2653</v>
      </c>
      <c r="G107" s="827"/>
    </row>
    <row r="108" spans="2:14" ht="15" customHeight="1"/>
    <row r="109" spans="2:14" ht="15" customHeight="1">
      <c r="B109" s="862"/>
      <c r="C109" s="861"/>
      <c r="E109" s="869" t="s">
        <v>2635</v>
      </c>
      <c r="G109" s="863" t="b">
        <f>COUNTIFS(G104:G107,"Yes")&gt;=1</f>
        <v>0</v>
      </c>
    </row>
    <row r="110" spans="2:14" ht="15" customHeight="1">
      <c r="E110" s="861"/>
    </row>
    <row r="111" spans="2:14" ht="15" customHeight="1">
      <c r="E111" s="869" t="s">
        <v>2640</v>
      </c>
      <c r="F111" s="897" t="s">
        <v>2615</v>
      </c>
      <c r="G111" s="898">
        <f>G29</f>
        <v>67.25</v>
      </c>
    </row>
    <row r="112" spans="2:14" ht="15" customHeight="1">
      <c r="E112" s="869" t="s">
        <v>2614</v>
      </c>
      <c r="F112" s="897" t="s">
        <v>2615</v>
      </c>
      <c r="G112" s="908">
        <v>25000</v>
      </c>
    </row>
    <row r="113" spans="2:9" ht="15" customHeight="1">
      <c r="E113" s="902" t="s">
        <v>2654</v>
      </c>
      <c r="F113" s="830"/>
      <c r="G113" s="907">
        <f>G109*G112*G96</f>
        <v>0</v>
      </c>
    </row>
    <row r="114" spans="2:9" ht="15" customHeight="1">
      <c r="C114" s="861"/>
      <c r="E114" s="861"/>
    </row>
    <row r="115" spans="2:9" ht="15" customHeight="1">
      <c r="E115" s="902" t="s">
        <v>2655</v>
      </c>
      <c r="G115" s="907">
        <f>G113+G101+G97</f>
        <v>1614000</v>
      </c>
    </row>
    <row r="116" spans="2:9" ht="15" customHeight="1"/>
    <row r="117" spans="2:9" ht="15" customHeight="1">
      <c r="B117" s="850" t="s">
        <v>1773</v>
      </c>
      <c r="C117" s="851"/>
      <c r="D117" s="851"/>
      <c r="E117" s="851"/>
      <c r="F117" s="851"/>
      <c r="G117" s="851"/>
      <c r="H117" s="851"/>
      <c r="I117" s="852"/>
    </row>
    <row r="118" spans="2:9" ht="15" customHeight="1"/>
    <row r="119" spans="2:9" ht="15" customHeight="1">
      <c r="C119" s="2587" t="s">
        <v>2656</v>
      </c>
      <c r="D119" s="2587"/>
      <c r="E119" s="2587"/>
      <c r="F119" s="2587"/>
    </row>
    <row r="120" spans="2:9" ht="15" customHeight="1">
      <c r="C120" s="2587"/>
      <c r="D120" s="2587"/>
      <c r="E120" s="2587"/>
      <c r="F120" s="2587"/>
      <c r="G120" s="827" t="s">
        <v>847</v>
      </c>
    </row>
    <row r="121" spans="2:9" ht="15" customHeight="1"/>
    <row r="122" spans="2:9" ht="15" customHeight="1">
      <c r="C122" s="828" t="s">
        <v>2657</v>
      </c>
      <c r="G122" s="2589" t="s">
        <v>2658</v>
      </c>
      <c r="H122" s="2589"/>
    </row>
    <row r="123" spans="2:9" ht="15" customHeight="1">
      <c r="G123" s="2589"/>
      <c r="H123" s="2589"/>
    </row>
    <row r="124" spans="2:9" ht="15" customHeight="1">
      <c r="G124" s="2590"/>
      <c r="H124" s="2590"/>
    </row>
    <row r="125" spans="2:9" ht="15" customHeight="1">
      <c r="G125" s="943"/>
      <c r="H125" s="943"/>
    </row>
    <row r="126" spans="2:9" ht="15" customHeight="1">
      <c r="B126" s="850" t="s">
        <v>2659</v>
      </c>
      <c r="C126" s="851"/>
      <c r="D126" s="851"/>
      <c r="E126" s="851"/>
      <c r="F126" s="851"/>
      <c r="G126" s="851"/>
      <c r="H126" s="851"/>
      <c r="I126" s="852"/>
    </row>
    <row r="128" spans="2:9">
      <c r="E128" s="869" t="s">
        <v>933</v>
      </c>
      <c r="G128" s="828" t="str">
        <f>IF(Application!T189="","",Application!T189)</f>
        <v>San Benito</v>
      </c>
    </row>
    <row r="129" spans="2:9">
      <c r="E129" s="869"/>
      <c r="G129" s="862"/>
    </row>
    <row r="130" spans="2:9">
      <c r="E130" s="869" t="str">
        <f>"2-Bedroom "&amp;G128&amp;" County Basis Limit"</f>
        <v>2-Bedroom San Benito County Basis Limit</v>
      </c>
      <c r="G130" s="862">
        <f>Application!R988</f>
        <v>489600</v>
      </c>
    </row>
    <row r="131" spans="2:9">
      <c r="E131" s="869" t="s">
        <v>2660</v>
      </c>
      <c r="G131" s="862">
        <f>MEDIAN((Application!CU160:CU217))</f>
        <v>489600</v>
      </c>
    </row>
    <row r="132" spans="2:9">
      <c r="D132" s="830"/>
      <c r="E132" s="902" t="s">
        <v>2661</v>
      </c>
      <c r="F132" s="918"/>
      <c r="G132" s="919">
        <f>((G130-G131)/G131)*0.25</f>
        <v>0</v>
      </c>
      <c r="H132" s="826"/>
      <c r="I132" s="826"/>
    </row>
    <row r="133" spans="2:9">
      <c r="D133" s="829"/>
      <c r="E133" s="829"/>
    </row>
    <row r="134" spans="2:9">
      <c r="B134" s="850" t="s">
        <v>2662</v>
      </c>
      <c r="C134" s="851"/>
      <c r="D134" s="851"/>
      <c r="E134" s="851"/>
      <c r="F134" s="851"/>
      <c r="G134" s="851"/>
      <c r="H134" s="851"/>
      <c r="I134" s="852"/>
    </row>
    <row r="136" spans="2:9">
      <c r="E136" s="869" t="s">
        <v>2617</v>
      </c>
      <c r="G136" s="828" t="b">
        <f>G37</f>
        <v>0</v>
      </c>
    </row>
    <row r="137" spans="2:9">
      <c r="E137" s="869" t="s">
        <v>2663</v>
      </c>
      <c r="G137" s="828" t="b">
        <f>OR('Points System'!B52="Yes", 'Points System'!B56="Yes",'Points System'!B58="Yes")</f>
        <v>0</v>
      </c>
    </row>
    <row r="138" spans="2:9">
      <c r="C138" s="2582" t="s">
        <v>2664</v>
      </c>
      <c r="D138" s="2582"/>
      <c r="E138" s="2582"/>
      <c r="F138" s="2582"/>
    </row>
    <row r="139" spans="2:9">
      <c r="B139" s="829"/>
      <c r="C139" s="2582"/>
      <c r="D139" s="2582"/>
      <c r="E139" s="2582"/>
      <c r="F139" s="2582"/>
      <c r="G139" s="827"/>
    </row>
    <row r="140" spans="2:9">
      <c r="B140" s="829"/>
      <c r="C140" s="829"/>
      <c r="D140" s="829"/>
      <c r="E140" s="829"/>
      <c r="F140" s="829"/>
    </row>
    <row r="141" spans="2:9" ht="14.25" customHeight="1">
      <c r="E141" s="869" t="s">
        <v>2665</v>
      </c>
      <c r="G141" s="951"/>
    </row>
    <row r="143" spans="2:9">
      <c r="E143" s="869" t="s">
        <v>2666</v>
      </c>
      <c r="G143" s="950">
        <f>IF(I9=0,0,G141/I9)</f>
        <v>0</v>
      </c>
    </row>
    <row r="144" spans="2:9">
      <c r="E144" s="869" t="s">
        <v>2667</v>
      </c>
      <c r="G144" s="948">
        <f>I9*0.15</f>
        <v>3256399.5</v>
      </c>
    </row>
  </sheetData>
  <sheetProtection algorithmName="SHA-512" hashValue="NYJ7k205IgmKb9AMrruwMsPwsuOfBEsvJG2gv3JzFPoRP5rTfrSAscagilAb7G+kTUigwMs+GfKkzfNOGzrioA==" saltValue="OTxaSbXUkZyaUeYzgwTI0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2" zoomScale="150" zoomScaleNormal="100" workbookViewId="0">
      <selection activeCell="F8" sqref="F8"/>
    </sheetView>
  </sheetViews>
  <sheetFormatPr defaultColWidth="9.1796875" defaultRowHeight="14" zeroHeight="1"/>
  <cols>
    <col min="1" max="2" width="15.7265625" style="186" customWidth="1"/>
    <col min="3" max="3" width="11" style="186" customWidth="1"/>
    <col min="4" max="4" width="15.7265625" style="186" customWidth="1"/>
    <col min="5" max="5" width="3.7265625" style="186" customWidth="1"/>
    <col min="6" max="7" width="15.7265625" style="186" customWidth="1"/>
    <col min="8" max="8" width="3.7265625" style="186" customWidth="1"/>
    <col min="9" max="10" width="15.7265625" style="186" customWidth="1"/>
    <col min="11" max="11" width="3.26953125" style="186" customWidth="1"/>
    <col min="12" max="17" width="15.7265625" style="186" customWidth="1"/>
    <col min="18" max="16384" width="9.1796875" style="186"/>
  </cols>
  <sheetData>
    <row r="1" spans="1:12">
      <c r="A1" s="2617" t="s">
        <v>2668</v>
      </c>
      <c r="B1" s="2617"/>
      <c r="C1" s="2617"/>
      <c r="D1" s="2617"/>
      <c r="E1" s="2617"/>
      <c r="F1" s="2617"/>
      <c r="G1" s="2617"/>
      <c r="H1" s="2617"/>
      <c r="I1" s="2617"/>
      <c r="J1" s="2617"/>
      <c r="K1" s="113"/>
      <c r="L1" s="113"/>
    </row>
    <row r="2" spans="1:12">
      <c r="A2" s="117"/>
      <c r="B2" s="117"/>
      <c r="C2" s="117"/>
      <c r="D2" s="117"/>
      <c r="E2" s="117"/>
      <c r="F2" s="117"/>
      <c r="G2" s="117"/>
      <c r="H2" s="117"/>
      <c r="I2" s="117"/>
      <c r="J2" s="117"/>
    </row>
    <row r="3" spans="1:12" ht="84.5">
      <c r="A3" s="295" t="s">
        <v>2669</v>
      </c>
      <c r="B3" s="295" t="s">
        <v>2670</v>
      </c>
      <c r="C3" s="295" t="s">
        <v>2671</v>
      </c>
      <c r="D3" s="929" t="s">
        <v>2672</v>
      </c>
      <c r="E3" s="113"/>
      <c r="F3" s="929" t="s">
        <v>2673</v>
      </c>
      <c r="G3" s="295" t="s">
        <v>2674</v>
      </c>
      <c r="H3" s="296"/>
      <c r="I3" s="295" t="s">
        <v>2675</v>
      </c>
      <c r="J3" s="295" t="s">
        <v>2676</v>
      </c>
      <c r="K3" s="113"/>
      <c r="L3" s="187"/>
    </row>
    <row r="4" spans="1:12">
      <c r="A4" s="297" t="str">
        <f>Application!B718</f>
        <v>1 Bedroom</v>
      </c>
      <c r="B4" s="867">
        <f>Application!G718</f>
        <v>6</v>
      </c>
      <c r="C4" s="944"/>
      <c r="D4" s="297">
        <f>Application!O718</f>
        <v>1239</v>
      </c>
      <c r="E4" s="298"/>
      <c r="F4" s="868"/>
      <c r="G4" s="297">
        <f>F4*B4</f>
        <v>0</v>
      </c>
      <c r="H4" s="298"/>
      <c r="I4" s="297" t="str">
        <f t="shared" ref="I4:I27" si="0">IF(F4=0,"",(F4-D4))</f>
        <v/>
      </c>
      <c r="J4" s="297" t="str">
        <f t="shared" ref="J4:J27" si="1">IF(F4=0,"",(I4*B4))</f>
        <v/>
      </c>
      <c r="K4" s="113"/>
      <c r="L4" s="187"/>
    </row>
    <row r="5" spans="1:12">
      <c r="A5" s="297" t="str">
        <f>Application!B719</f>
        <v>2 Bedrooms</v>
      </c>
      <c r="B5" s="867">
        <f>Application!G719</f>
        <v>14</v>
      </c>
      <c r="C5" s="944"/>
      <c r="D5" s="297">
        <f>Application!O719</f>
        <v>1463</v>
      </c>
      <c r="E5" s="298"/>
      <c r="F5" s="868"/>
      <c r="G5" s="297">
        <f t="shared" ref="G5:G38" si="2">F5*B5</f>
        <v>0</v>
      </c>
      <c r="H5" s="298"/>
      <c r="I5" s="297" t="str">
        <f t="shared" si="0"/>
        <v/>
      </c>
      <c r="J5" s="297" t="str">
        <f t="shared" si="1"/>
        <v/>
      </c>
      <c r="K5" s="113"/>
      <c r="L5" s="187"/>
    </row>
    <row r="6" spans="1:12">
      <c r="A6" s="297" t="str">
        <f>Application!B720</f>
        <v>2 Bedrooms</v>
      </c>
      <c r="B6" s="867">
        <f>Application!G720</f>
        <v>10</v>
      </c>
      <c r="C6" s="944" t="s">
        <v>997</v>
      </c>
      <c r="D6" s="297">
        <f>Application!O720</f>
        <v>636.20000000000005</v>
      </c>
      <c r="E6" s="298"/>
      <c r="F6" s="868">
        <v>2500</v>
      </c>
      <c r="G6" s="297">
        <f t="shared" si="2"/>
        <v>25000</v>
      </c>
      <c r="H6" s="298"/>
      <c r="I6" s="297">
        <f t="shared" si="0"/>
        <v>1863.8</v>
      </c>
      <c r="J6" s="297">
        <f t="shared" si="1"/>
        <v>18638</v>
      </c>
      <c r="K6" s="113"/>
      <c r="L6" s="187"/>
    </row>
    <row r="7" spans="1:12">
      <c r="A7" s="297" t="str">
        <f>Application!B721</f>
        <v>3 Bedrooms</v>
      </c>
      <c r="B7" s="867">
        <f>Application!G721</f>
        <v>7</v>
      </c>
      <c r="C7" s="944"/>
      <c r="D7" s="297">
        <f>Application!O721</f>
        <v>1664.2</v>
      </c>
      <c r="E7" s="298"/>
      <c r="F7" s="868"/>
      <c r="G7" s="297">
        <f t="shared" si="2"/>
        <v>0</v>
      </c>
      <c r="H7" s="298"/>
      <c r="I7" s="297" t="str">
        <f t="shared" si="0"/>
        <v/>
      </c>
      <c r="J7" s="297" t="str">
        <f t="shared" si="1"/>
        <v/>
      </c>
      <c r="K7" s="113"/>
      <c r="L7" s="187"/>
    </row>
    <row r="8" spans="1:12">
      <c r="A8" s="297" t="str">
        <f>Application!B722</f>
        <v>3 Bedrooms</v>
      </c>
      <c r="B8" s="867">
        <f>Application!G722</f>
        <v>15</v>
      </c>
      <c r="C8" s="944" t="s">
        <v>997</v>
      </c>
      <c r="D8" s="297">
        <f>Application!O722</f>
        <v>709</v>
      </c>
      <c r="E8" s="298"/>
      <c r="F8" s="868">
        <v>3345</v>
      </c>
      <c r="G8" s="297">
        <f t="shared" si="2"/>
        <v>50175</v>
      </c>
      <c r="H8" s="298"/>
      <c r="I8" s="297">
        <f t="shared" si="0"/>
        <v>2636</v>
      </c>
      <c r="J8" s="297">
        <f t="shared" si="1"/>
        <v>39540</v>
      </c>
      <c r="K8" s="113"/>
      <c r="L8" s="187"/>
    </row>
    <row r="9" spans="1:12">
      <c r="A9" s="297">
        <f>Application!B723</f>
        <v>0</v>
      </c>
      <c r="B9" s="867">
        <f>Application!G723</f>
        <v>0</v>
      </c>
      <c r="C9" s="944"/>
      <c r="D9" s="297">
        <f>Application!O723</f>
        <v>0</v>
      </c>
      <c r="E9" s="298"/>
      <c r="F9" s="868"/>
      <c r="G9" s="297">
        <f t="shared" si="2"/>
        <v>0</v>
      </c>
      <c r="H9" s="298"/>
      <c r="I9" s="297" t="str">
        <f t="shared" si="0"/>
        <v/>
      </c>
      <c r="J9" s="297" t="str">
        <f t="shared" si="1"/>
        <v/>
      </c>
      <c r="K9" s="113"/>
      <c r="L9" s="187"/>
    </row>
    <row r="10" spans="1:12">
      <c r="A10" s="297">
        <f>Application!B724</f>
        <v>0</v>
      </c>
      <c r="B10" s="867">
        <f>Application!G724</f>
        <v>0</v>
      </c>
      <c r="C10" s="944"/>
      <c r="D10" s="297">
        <f>Application!O724</f>
        <v>0</v>
      </c>
      <c r="E10" s="298"/>
      <c r="F10" s="868"/>
      <c r="G10" s="297">
        <f t="shared" si="2"/>
        <v>0</v>
      </c>
      <c r="H10" s="298"/>
      <c r="I10" s="297" t="str">
        <f t="shared" si="0"/>
        <v/>
      </c>
      <c r="J10" s="297" t="str">
        <f t="shared" si="1"/>
        <v/>
      </c>
      <c r="K10" s="113"/>
      <c r="L10" s="187"/>
    </row>
    <row r="11" spans="1:12">
      <c r="A11" s="297">
        <f>Application!B725</f>
        <v>0</v>
      </c>
      <c r="B11" s="867">
        <f>Application!G725</f>
        <v>0</v>
      </c>
      <c r="C11" s="944"/>
      <c r="D11" s="297">
        <f>Application!O725</f>
        <v>0</v>
      </c>
      <c r="E11" s="298"/>
      <c r="F11" s="868"/>
      <c r="G11" s="297">
        <f t="shared" si="2"/>
        <v>0</v>
      </c>
      <c r="H11" s="298"/>
      <c r="I11" s="297" t="str">
        <f t="shared" si="0"/>
        <v/>
      </c>
      <c r="J11" s="297" t="str">
        <f t="shared" si="1"/>
        <v/>
      </c>
      <c r="K11" s="113"/>
      <c r="L11" s="187"/>
    </row>
    <row r="12" spans="1:12">
      <c r="A12" s="297">
        <f>Application!B726</f>
        <v>0</v>
      </c>
      <c r="B12" s="867">
        <f>Application!G726</f>
        <v>0</v>
      </c>
      <c r="C12" s="944"/>
      <c r="D12" s="297">
        <f>Application!O726</f>
        <v>0</v>
      </c>
      <c r="E12" s="298"/>
      <c r="F12" s="868"/>
      <c r="G12" s="297">
        <f t="shared" si="2"/>
        <v>0</v>
      </c>
      <c r="H12" s="298"/>
      <c r="I12" s="297" t="str">
        <f t="shared" si="0"/>
        <v/>
      </c>
      <c r="J12" s="297" t="str">
        <f t="shared" si="1"/>
        <v/>
      </c>
      <c r="K12" s="113"/>
      <c r="L12" s="187"/>
    </row>
    <row r="13" spans="1:12">
      <c r="A13" s="297">
        <f>Application!B727</f>
        <v>0</v>
      </c>
      <c r="B13" s="867">
        <f>Application!G727</f>
        <v>0</v>
      </c>
      <c r="C13" s="944"/>
      <c r="D13" s="297">
        <f>Application!O727</f>
        <v>0</v>
      </c>
      <c r="E13" s="298"/>
      <c r="F13" s="868"/>
      <c r="G13" s="297">
        <f t="shared" si="2"/>
        <v>0</v>
      </c>
      <c r="H13" s="298"/>
      <c r="I13" s="297" t="str">
        <f t="shared" si="0"/>
        <v/>
      </c>
      <c r="J13" s="297" t="str">
        <f t="shared" si="1"/>
        <v/>
      </c>
      <c r="K13" s="113"/>
      <c r="L13" s="187"/>
    </row>
    <row r="14" spans="1:12">
      <c r="A14" s="297">
        <f>Application!B728</f>
        <v>0</v>
      </c>
      <c r="B14" s="867">
        <f>Application!G728</f>
        <v>0</v>
      </c>
      <c r="C14" s="944"/>
      <c r="D14" s="297">
        <f>Application!O728</f>
        <v>0</v>
      </c>
      <c r="E14" s="298"/>
      <c r="F14" s="868"/>
      <c r="G14" s="297">
        <f t="shared" si="2"/>
        <v>0</v>
      </c>
      <c r="H14" s="298"/>
      <c r="I14" s="297" t="str">
        <f t="shared" si="0"/>
        <v/>
      </c>
      <c r="J14" s="297" t="str">
        <f t="shared" si="1"/>
        <v/>
      </c>
      <c r="K14" s="113"/>
      <c r="L14" s="187"/>
    </row>
    <row r="15" spans="1:12">
      <c r="A15" s="297">
        <f>Application!B729</f>
        <v>0</v>
      </c>
      <c r="B15" s="867">
        <f>Application!G729</f>
        <v>0</v>
      </c>
      <c r="C15" s="944"/>
      <c r="D15" s="297">
        <f>Application!O729</f>
        <v>0</v>
      </c>
      <c r="E15" s="298"/>
      <c r="F15" s="868"/>
      <c r="G15" s="297">
        <f t="shared" si="2"/>
        <v>0</v>
      </c>
      <c r="H15" s="298"/>
      <c r="I15" s="297" t="str">
        <f t="shared" si="0"/>
        <v/>
      </c>
      <c r="J15" s="297" t="str">
        <f t="shared" si="1"/>
        <v/>
      </c>
      <c r="K15" s="113"/>
      <c r="L15" s="187"/>
    </row>
    <row r="16" spans="1:12">
      <c r="A16" s="297">
        <f>Application!B730</f>
        <v>0</v>
      </c>
      <c r="B16" s="867">
        <f>Application!G730</f>
        <v>0</v>
      </c>
      <c r="C16" s="944"/>
      <c r="D16" s="297">
        <f>Application!O730</f>
        <v>0</v>
      </c>
      <c r="E16" s="298"/>
      <c r="F16" s="868"/>
      <c r="G16" s="297">
        <f t="shared" si="2"/>
        <v>0</v>
      </c>
      <c r="H16" s="298"/>
      <c r="I16" s="297" t="str">
        <f t="shared" si="0"/>
        <v/>
      </c>
      <c r="J16" s="297" t="str">
        <f t="shared" si="1"/>
        <v/>
      </c>
      <c r="K16" s="113"/>
      <c r="L16" s="187"/>
    </row>
    <row r="17" spans="1:12">
      <c r="A17" s="297">
        <f>Application!B731</f>
        <v>0</v>
      </c>
      <c r="B17" s="867">
        <f>Application!G731</f>
        <v>0</v>
      </c>
      <c r="C17" s="944"/>
      <c r="D17" s="297">
        <f>Application!O731</f>
        <v>0</v>
      </c>
      <c r="E17" s="298"/>
      <c r="F17" s="868"/>
      <c r="G17" s="297">
        <f t="shared" si="2"/>
        <v>0</v>
      </c>
      <c r="H17" s="298"/>
      <c r="I17" s="297" t="str">
        <f t="shared" si="0"/>
        <v/>
      </c>
      <c r="J17" s="297" t="str">
        <f t="shared" si="1"/>
        <v/>
      </c>
      <c r="K17" s="113"/>
      <c r="L17" s="187"/>
    </row>
    <row r="18" spans="1:12">
      <c r="A18" s="297">
        <f>Application!B732</f>
        <v>0</v>
      </c>
      <c r="B18" s="867">
        <f>Application!G732</f>
        <v>0</v>
      </c>
      <c r="C18" s="944"/>
      <c r="D18" s="297">
        <f>Application!O732</f>
        <v>0</v>
      </c>
      <c r="E18" s="298"/>
      <c r="F18" s="868"/>
      <c r="G18" s="297">
        <f t="shared" si="2"/>
        <v>0</v>
      </c>
      <c r="H18" s="298"/>
      <c r="I18" s="297" t="str">
        <f t="shared" si="0"/>
        <v/>
      </c>
      <c r="J18" s="297" t="str">
        <f t="shared" si="1"/>
        <v/>
      </c>
      <c r="K18" s="113"/>
      <c r="L18" s="187"/>
    </row>
    <row r="19" spans="1:12">
      <c r="A19" s="297">
        <f>Application!B733</f>
        <v>0</v>
      </c>
      <c r="B19" s="867">
        <f>Application!G733</f>
        <v>0</v>
      </c>
      <c r="C19" s="944"/>
      <c r="D19" s="297">
        <f>Application!O733</f>
        <v>0</v>
      </c>
      <c r="E19" s="298"/>
      <c r="F19" s="868"/>
      <c r="G19" s="297">
        <f t="shared" si="2"/>
        <v>0</v>
      </c>
      <c r="H19" s="298"/>
      <c r="I19" s="297" t="str">
        <f t="shared" si="0"/>
        <v/>
      </c>
      <c r="J19" s="297" t="str">
        <f t="shared" si="1"/>
        <v/>
      </c>
      <c r="K19" s="113"/>
      <c r="L19" s="187"/>
    </row>
    <row r="20" spans="1:12">
      <c r="A20" s="297">
        <f>Application!B734</f>
        <v>0</v>
      </c>
      <c r="B20" s="867">
        <f>Application!G734</f>
        <v>0</v>
      </c>
      <c r="C20" s="944"/>
      <c r="D20" s="297">
        <f>Application!O734</f>
        <v>0</v>
      </c>
      <c r="E20" s="298"/>
      <c r="F20" s="868"/>
      <c r="G20" s="297">
        <f t="shared" si="2"/>
        <v>0</v>
      </c>
      <c r="H20" s="298"/>
      <c r="I20" s="297" t="str">
        <f t="shared" si="0"/>
        <v/>
      </c>
      <c r="J20" s="297" t="str">
        <f t="shared" si="1"/>
        <v/>
      </c>
      <c r="K20" s="113"/>
      <c r="L20" s="187"/>
    </row>
    <row r="21" spans="1:12">
      <c r="A21" s="297">
        <f>Application!B735</f>
        <v>0</v>
      </c>
      <c r="B21" s="867">
        <f>Application!G735</f>
        <v>0</v>
      </c>
      <c r="C21" s="944"/>
      <c r="D21" s="297">
        <f>Application!O735</f>
        <v>0</v>
      </c>
      <c r="E21" s="298"/>
      <c r="F21" s="868"/>
      <c r="G21" s="297">
        <f t="shared" si="2"/>
        <v>0</v>
      </c>
      <c r="H21" s="298"/>
      <c r="I21" s="297" t="str">
        <f t="shared" si="0"/>
        <v/>
      </c>
      <c r="J21" s="297" t="str">
        <f t="shared" si="1"/>
        <v/>
      </c>
      <c r="K21" s="113"/>
      <c r="L21" s="187"/>
    </row>
    <row r="22" spans="1:12">
      <c r="A22" s="297">
        <f>Application!B736</f>
        <v>0</v>
      </c>
      <c r="B22" s="867">
        <f>Application!G736</f>
        <v>0</v>
      </c>
      <c r="C22" s="944"/>
      <c r="D22" s="297">
        <f>Application!O736</f>
        <v>0</v>
      </c>
      <c r="E22" s="298"/>
      <c r="F22" s="868"/>
      <c r="G22" s="297">
        <f t="shared" si="2"/>
        <v>0</v>
      </c>
      <c r="H22" s="298"/>
      <c r="I22" s="297" t="str">
        <f t="shared" si="0"/>
        <v/>
      </c>
      <c r="J22" s="297" t="str">
        <f t="shared" si="1"/>
        <v/>
      </c>
      <c r="K22" s="113"/>
      <c r="L22" s="187"/>
    </row>
    <row r="23" spans="1:12">
      <c r="A23" s="297">
        <f>Application!B737</f>
        <v>0</v>
      </c>
      <c r="B23" s="867">
        <f>Application!G737</f>
        <v>0</v>
      </c>
      <c r="C23" s="944"/>
      <c r="D23" s="297">
        <f>Application!O737</f>
        <v>0</v>
      </c>
      <c r="E23" s="298"/>
      <c r="F23" s="868"/>
      <c r="G23" s="297">
        <f t="shared" si="2"/>
        <v>0</v>
      </c>
      <c r="H23" s="298"/>
      <c r="I23" s="297" t="str">
        <f t="shared" si="0"/>
        <v/>
      </c>
      <c r="J23" s="297" t="str">
        <f t="shared" si="1"/>
        <v/>
      </c>
      <c r="K23" s="113"/>
      <c r="L23" s="187"/>
    </row>
    <row r="24" spans="1:12">
      <c r="A24" s="297">
        <f>Application!B738</f>
        <v>0</v>
      </c>
      <c r="B24" s="867">
        <f>Application!G738</f>
        <v>0</v>
      </c>
      <c r="C24" s="944"/>
      <c r="D24" s="297">
        <f>Application!O738</f>
        <v>0</v>
      </c>
      <c r="E24" s="298"/>
      <c r="F24" s="868"/>
      <c r="G24" s="297">
        <f t="shared" si="2"/>
        <v>0</v>
      </c>
      <c r="H24" s="298"/>
      <c r="I24" s="297" t="str">
        <f t="shared" si="0"/>
        <v/>
      </c>
      <c r="J24" s="297" t="str">
        <f t="shared" si="1"/>
        <v/>
      </c>
      <c r="K24" s="113"/>
      <c r="L24" s="187"/>
    </row>
    <row r="25" spans="1:12">
      <c r="A25" s="297">
        <f>Application!B739</f>
        <v>0</v>
      </c>
      <c r="B25" s="867">
        <f>Application!G739</f>
        <v>0</v>
      </c>
      <c r="C25" s="944"/>
      <c r="D25" s="297">
        <f>Application!O739</f>
        <v>0</v>
      </c>
      <c r="E25" s="298"/>
      <c r="F25" s="868"/>
      <c r="G25" s="297">
        <f t="shared" si="2"/>
        <v>0</v>
      </c>
      <c r="H25" s="298"/>
      <c r="I25" s="297" t="str">
        <f t="shared" si="0"/>
        <v/>
      </c>
      <c r="J25" s="297" t="str">
        <f t="shared" si="1"/>
        <v/>
      </c>
      <c r="K25" s="113"/>
      <c r="L25" s="187"/>
    </row>
    <row r="26" spans="1:12">
      <c r="A26" s="297">
        <f>Application!B740</f>
        <v>0</v>
      </c>
      <c r="B26" s="867">
        <f>Application!G740</f>
        <v>0</v>
      </c>
      <c r="C26" s="944"/>
      <c r="D26" s="297">
        <f>Application!O740</f>
        <v>0</v>
      </c>
      <c r="E26" s="298"/>
      <c r="F26" s="868"/>
      <c r="G26" s="297">
        <f t="shared" si="2"/>
        <v>0</v>
      </c>
      <c r="H26" s="298"/>
      <c r="I26" s="297" t="str">
        <f t="shared" si="0"/>
        <v/>
      </c>
      <c r="J26" s="297" t="str">
        <f t="shared" si="1"/>
        <v/>
      </c>
      <c r="K26" s="113"/>
      <c r="L26" s="187"/>
    </row>
    <row r="27" spans="1:12">
      <c r="A27" s="297">
        <f>Application!B741</f>
        <v>0</v>
      </c>
      <c r="B27" s="867">
        <f>Application!G741</f>
        <v>0</v>
      </c>
      <c r="C27" s="944"/>
      <c r="D27" s="297">
        <f>Application!O741</f>
        <v>0</v>
      </c>
      <c r="E27" s="298"/>
      <c r="F27" s="868"/>
      <c r="G27" s="297">
        <f t="shared" si="2"/>
        <v>0</v>
      </c>
      <c r="H27" s="298"/>
      <c r="I27" s="297" t="str">
        <f t="shared" si="0"/>
        <v/>
      </c>
      <c r="J27" s="297" t="str">
        <f t="shared" si="1"/>
        <v/>
      </c>
      <c r="K27" s="113"/>
      <c r="L27" s="187"/>
    </row>
    <row r="28" spans="1:12">
      <c r="A28" s="297">
        <f>Application!B742</f>
        <v>0</v>
      </c>
      <c r="B28" s="867">
        <f>Application!G742</f>
        <v>0</v>
      </c>
      <c r="C28" s="944"/>
      <c r="D28" s="297">
        <f>Application!O742</f>
        <v>0</v>
      </c>
      <c r="E28" s="298"/>
      <c r="F28" s="868"/>
      <c r="G28" s="297">
        <f t="shared" si="2"/>
        <v>0</v>
      </c>
      <c r="H28" s="298"/>
      <c r="I28" s="297" t="str">
        <f t="shared" ref="I28:I37" si="3">IF(F28=0,"",(F28-D28))</f>
        <v/>
      </c>
      <c r="J28" s="297" t="str">
        <f t="shared" ref="J28:J37" si="4">IF(F28=0,"",(I28*B28))</f>
        <v/>
      </c>
      <c r="K28" s="113"/>
      <c r="L28" s="187"/>
    </row>
    <row r="29" spans="1:12">
      <c r="A29" s="297">
        <f>Application!B743</f>
        <v>0</v>
      </c>
      <c r="B29" s="867">
        <f>Application!G743</f>
        <v>0</v>
      </c>
      <c r="C29" s="944"/>
      <c r="D29" s="297">
        <f>Application!O743</f>
        <v>0</v>
      </c>
      <c r="E29" s="298"/>
      <c r="F29" s="868"/>
      <c r="G29" s="297">
        <f t="shared" si="2"/>
        <v>0</v>
      </c>
      <c r="H29" s="298"/>
      <c r="I29" s="297" t="str">
        <f t="shared" si="3"/>
        <v/>
      </c>
      <c r="J29" s="297" t="str">
        <f t="shared" si="4"/>
        <v/>
      </c>
      <c r="K29" s="113"/>
      <c r="L29" s="187"/>
    </row>
    <row r="30" spans="1:12">
      <c r="A30" s="297">
        <f>Application!B744</f>
        <v>0</v>
      </c>
      <c r="B30" s="867">
        <f>Application!G744</f>
        <v>0</v>
      </c>
      <c r="C30" s="944"/>
      <c r="D30" s="297">
        <f>Application!O744</f>
        <v>0</v>
      </c>
      <c r="E30" s="298"/>
      <c r="F30" s="868"/>
      <c r="G30" s="297">
        <f t="shared" si="2"/>
        <v>0</v>
      </c>
      <c r="H30" s="298"/>
      <c r="I30" s="297" t="str">
        <f t="shared" si="3"/>
        <v/>
      </c>
      <c r="J30" s="297" t="str">
        <f t="shared" si="4"/>
        <v/>
      </c>
      <c r="K30" s="113"/>
      <c r="L30" s="187"/>
    </row>
    <row r="31" spans="1:12">
      <c r="A31" s="297">
        <f>Application!B745</f>
        <v>0</v>
      </c>
      <c r="B31" s="867">
        <f>Application!G745</f>
        <v>0</v>
      </c>
      <c r="C31" s="944"/>
      <c r="D31" s="297">
        <f>Application!O745</f>
        <v>0</v>
      </c>
      <c r="E31" s="298"/>
      <c r="F31" s="868"/>
      <c r="G31" s="297">
        <f t="shared" si="2"/>
        <v>0</v>
      </c>
      <c r="H31" s="298"/>
      <c r="I31" s="297" t="str">
        <f t="shared" si="3"/>
        <v/>
      </c>
      <c r="J31" s="297" t="str">
        <f t="shared" si="4"/>
        <v/>
      </c>
      <c r="K31" s="113"/>
      <c r="L31" s="187"/>
    </row>
    <row r="32" spans="1:12">
      <c r="A32" s="297">
        <f>Application!B746</f>
        <v>0</v>
      </c>
      <c r="B32" s="867">
        <f>Application!G746</f>
        <v>0</v>
      </c>
      <c r="C32" s="944"/>
      <c r="D32" s="297">
        <f>Application!O746</f>
        <v>0</v>
      </c>
      <c r="E32" s="298"/>
      <c r="F32" s="868"/>
      <c r="G32" s="297">
        <f t="shared" si="2"/>
        <v>0</v>
      </c>
      <c r="H32" s="298"/>
      <c r="I32" s="297" t="str">
        <f t="shared" si="3"/>
        <v/>
      </c>
      <c r="J32" s="297" t="str">
        <f t="shared" si="4"/>
        <v/>
      </c>
      <c r="K32" s="113"/>
      <c r="L32" s="187"/>
    </row>
    <row r="33" spans="1:12">
      <c r="A33" s="297">
        <f>Application!B747</f>
        <v>0</v>
      </c>
      <c r="B33" s="867">
        <f>Application!G747</f>
        <v>0</v>
      </c>
      <c r="C33" s="944"/>
      <c r="D33" s="297">
        <f>Application!O747</f>
        <v>0</v>
      </c>
      <c r="E33" s="298"/>
      <c r="F33" s="868"/>
      <c r="G33" s="297">
        <f t="shared" si="2"/>
        <v>0</v>
      </c>
      <c r="H33" s="298"/>
      <c r="I33" s="297" t="str">
        <f t="shared" si="3"/>
        <v/>
      </c>
      <c r="J33" s="297" t="str">
        <f t="shared" si="4"/>
        <v/>
      </c>
      <c r="K33" s="113"/>
      <c r="L33" s="187"/>
    </row>
    <row r="34" spans="1:12">
      <c r="A34" s="297">
        <f>Application!B748</f>
        <v>0</v>
      </c>
      <c r="B34" s="867">
        <f>Application!G748</f>
        <v>0</v>
      </c>
      <c r="C34" s="944"/>
      <c r="D34" s="297">
        <f>Application!O748</f>
        <v>0</v>
      </c>
      <c r="E34" s="298"/>
      <c r="F34" s="868"/>
      <c r="G34" s="297">
        <f t="shared" si="2"/>
        <v>0</v>
      </c>
      <c r="H34" s="298"/>
      <c r="I34" s="297" t="str">
        <f t="shared" si="3"/>
        <v/>
      </c>
      <c r="J34" s="297" t="str">
        <f t="shared" si="4"/>
        <v/>
      </c>
      <c r="K34" s="113"/>
      <c r="L34" s="187"/>
    </row>
    <row r="35" spans="1:12">
      <c r="A35" s="297">
        <f>Application!B749</f>
        <v>0</v>
      </c>
      <c r="B35" s="867">
        <f>Application!G749</f>
        <v>0</v>
      </c>
      <c r="C35" s="944"/>
      <c r="D35" s="297">
        <f>Application!O749</f>
        <v>0</v>
      </c>
      <c r="E35" s="298"/>
      <c r="F35" s="868"/>
      <c r="G35" s="297">
        <f t="shared" si="2"/>
        <v>0</v>
      </c>
      <c r="H35" s="298"/>
      <c r="I35" s="297" t="str">
        <f t="shared" si="3"/>
        <v/>
      </c>
      <c r="J35" s="297" t="str">
        <f t="shared" si="4"/>
        <v/>
      </c>
      <c r="K35" s="113"/>
      <c r="L35" s="187"/>
    </row>
    <row r="36" spans="1:12">
      <c r="A36" s="297">
        <f>Application!B750</f>
        <v>0</v>
      </c>
      <c r="B36" s="867">
        <f>Application!G750</f>
        <v>0</v>
      </c>
      <c r="C36" s="944"/>
      <c r="D36" s="297">
        <f>Application!O750</f>
        <v>0</v>
      </c>
      <c r="E36" s="298"/>
      <c r="F36" s="868"/>
      <c r="G36" s="297">
        <f t="shared" si="2"/>
        <v>0</v>
      </c>
      <c r="H36" s="298"/>
      <c r="I36" s="297" t="str">
        <f t="shared" si="3"/>
        <v/>
      </c>
      <c r="J36" s="297" t="str">
        <f t="shared" si="4"/>
        <v/>
      </c>
      <c r="K36" s="113"/>
      <c r="L36" s="187"/>
    </row>
    <row r="37" spans="1:12">
      <c r="A37" s="297">
        <f>Application!B751</f>
        <v>0</v>
      </c>
      <c r="B37" s="867">
        <f>Application!G751</f>
        <v>0</v>
      </c>
      <c r="C37" s="944"/>
      <c r="D37" s="297">
        <f>Application!O751</f>
        <v>0</v>
      </c>
      <c r="E37" s="298"/>
      <c r="F37" s="868"/>
      <c r="G37" s="297">
        <f t="shared" si="2"/>
        <v>0</v>
      </c>
      <c r="H37" s="298"/>
      <c r="I37" s="297" t="str">
        <f t="shared" si="3"/>
        <v/>
      </c>
      <c r="J37" s="297" t="str">
        <f t="shared" si="4"/>
        <v/>
      </c>
      <c r="K37" s="113"/>
      <c r="L37" s="187"/>
    </row>
    <row r="38" spans="1:12">
      <c r="A38" s="297">
        <f>Application!B752</f>
        <v>0</v>
      </c>
      <c r="B38" s="867">
        <f>Application!G752</f>
        <v>0</v>
      </c>
      <c r="C38" s="944"/>
      <c r="D38" s="297">
        <f>Application!O752</f>
        <v>0</v>
      </c>
      <c r="E38" s="298"/>
      <c r="F38" s="868"/>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c r="A40" s="299" t="s">
        <v>2677</v>
      </c>
      <c r="B40" s="300"/>
      <c r="C40" s="300"/>
      <c r="D40" s="301">
        <f>Application!O753</f>
        <v>56562.400000000001</v>
      </c>
      <c r="E40" s="298"/>
      <c r="F40" s="298"/>
      <c r="G40" s="301">
        <f>SUM(G4:G38)*12</f>
        <v>902100</v>
      </c>
      <c r="H40" s="302"/>
      <c r="I40" s="300"/>
      <c r="J40" s="301">
        <f>SUM(J4:J38)*12</f>
        <v>698136</v>
      </c>
      <c r="K40" s="113"/>
      <c r="L40" s="188"/>
    </row>
    <row r="41" spans="1:12">
      <c r="A41" s="299"/>
      <c r="B41" s="300"/>
      <c r="C41" s="300"/>
      <c r="D41" s="302"/>
      <c r="E41" s="298"/>
      <c r="F41" s="298"/>
      <c r="G41" s="302"/>
      <c r="H41" s="302"/>
      <c r="I41" s="300"/>
      <c r="J41" s="302"/>
      <c r="K41" s="113"/>
      <c r="L41" s="188"/>
    </row>
    <row r="42" spans="1:12">
      <c r="A42" s="186" t="s">
        <v>2678</v>
      </c>
    </row>
    <row r="43" spans="1:12">
      <c r="A43" s="2618" t="s">
        <v>2679</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2680</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zoomScaleNormal="100" workbookViewId="0">
      <selection activeCell="K59" sqref="K59"/>
    </sheetView>
  </sheetViews>
  <sheetFormatPr defaultColWidth="0" defaultRowHeight="12.5" zeroHeight="1"/>
  <cols>
    <col min="1" max="1" width="3.7265625" customWidth="1"/>
    <col min="2" max="2" width="30.453125" customWidth="1"/>
    <col min="3" max="3" width="9.1796875" style="120"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18" t="s">
        <v>2681</v>
      </c>
      <c r="B1" s="118"/>
    </row>
    <row r="2" spans="1:34"/>
    <row r="3" spans="1:34" ht="15.5">
      <c r="A3" s="119" t="s">
        <v>2682</v>
      </c>
      <c r="B3" s="119"/>
      <c r="C3" s="140" t="s">
        <v>2683</v>
      </c>
      <c r="D3" s="1149"/>
      <c r="E3" s="141" t="s">
        <v>2684</v>
      </c>
      <c r="F3" s="112"/>
      <c r="G3" s="141" t="s">
        <v>2685</v>
      </c>
      <c r="H3" s="112"/>
      <c r="I3" s="141" t="s">
        <v>2686</v>
      </c>
      <c r="J3" s="112"/>
      <c r="K3" s="141" t="s">
        <v>2687</v>
      </c>
      <c r="L3" s="112"/>
      <c r="M3" s="141" t="s">
        <v>2688</v>
      </c>
      <c r="N3" s="112"/>
      <c r="O3" s="141" t="s">
        <v>2689</v>
      </c>
      <c r="P3" s="112"/>
      <c r="Q3" s="141" t="s">
        <v>2690</v>
      </c>
      <c r="R3" s="112"/>
      <c r="S3" s="141" t="s">
        <v>2691</v>
      </c>
      <c r="T3" s="112"/>
      <c r="U3" s="141" t="s">
        <v>2692</v>
      </c>
      <c r="V3" s="112"/>
      <c r="W3" s="141" t="s">
        <v>2693</v>
      </c>
      <c r="X3" s="112"/>
      <c r="Y3" s="141" t="s">
        <v>2694</v>
      </c>
      <c r="Z3" s="112"/>
      <c r="AA3" s="141" t="s">
        <v>2695</v>
      </c>
      <c r="AB3" s="112"/>
      <c r="AC3" s="141" t="s">
        <v>2696</v>
      </c>
      <c r="AD3" s="112"/>
      <c r="AE3" s="141" t="s">
        <v>2697</v>
      </c>
      <c r="AF3" s="112"/>
      <c r="AG3" s="141" t="s">
        <v>2698</v>
      </c>
      <c r="AH3" s="1149"/>
    </row>
    <row r="4" spans="1:34" s="125" customFormat="1" ht="14">
      <c r="A4" s="125" t="s">
        <v>2699</v>
      </c>
      <c r="C4" s="1100">
        <v>1.0249999999999999</v>
      </c>
      <c r="E4" s="125">
        <f>Application!Y801</f>
        <v>678748.8</v>
      </c>
      <c r="G4" s="125">
        <f>E4*$C$4</f>
        <v>695717.52</v>
      </c>
      <c r="I4" s="125">
        <f>G4*$C$4</f>
        <v>713110.45799999998</v>
      </c>
      <c r="K4" s="125">
        <f>I4*$C$4</f>
        <v>730938.21944999998</v>
      </c>
      <c r="M4" s="125">
        <f>K4*$C$4</f>
        <v>749211.67493624985</v>
      </c>
      <c r="O4" s="125">
        <f>M4*$C$4</f>
        <v>767941.96680965601</v>
      </c>
      <c r="Q4" s="125">
        <f>O4*$C$4</f>
        <v>787140.51597989735</v>
      </c>
      <c r="S4" s="125">
        <f>Q4*$C$4</f>
        <v>806819.02887939475</v>
      </c>
      <c r="U4" s="125">
        <f>S4*$C$4</f>
        <v>826989.50460137951</v>
      </c>
      <c r="W4" s="125">
        <f>U4*$C$4</f>
        <v>847664.24221641396</v>
      </c>
      <c r="Y4" s="125">
        <f>W4*$C$4</f>
        <v>868855.84827182419</v>
      </c>
      <c r="AA4" s="125">
        <f>Y4*$C$4</f>
        <v>890577.24447861966</v>
      </c>
      <c r="AC4" s="125">
        <f>AA4*$C$4</f>
        <v>912841.6755905851</v>
      </c>
      <c r="AE4" s="125">
        <f>AC4*$C$4</f>
        <v>935662.7174803497</v>
      </c>
      <c r="AG4" s="125">
        <f>AE4*$C$4</f>
        <v>959054.28541735839</v>
      </c>
    </row>
    <row r="5" spans="1:34" s="117" customFormat="1" ht="14">
      <c r="B5" s="117" t="s">
        <v>2265</v>
      </c>
      <c r="C5" s="1101">
        <f>IF(Application!$D$211="Special Needs",(((0.1*Application!$T$212)+(0.05*(1-Application!$T$212)))),0.05)</f>
        <v>0.05</v>
      </c>
      <c r="E5" s="127">
        <f>-E4*$C$5</f>
        <v>-33937.440000000002</v>
      </c>
      <c r="F5" s="127"/>
      <c r="G5" s="127">
        <f>-G4*$C$5</f>
        <v>-34785.876000000004</v>
      </c>
      <c r="H5" s="127"/>
      <c r="I5" s="127">
        <f>-I4*$C$5</f>
        <v>-35655.522900000004</v>
      </c>
      <c r="J5" s="127"/>
      <c r="K5" s="127">
        <f>-K4*$C$5</f>
        <v>-36546.910972500002</v>
      </c>
      <c r="L5" s="127"/>
      <c r="M5" s="127">
        <f>-M4*$C$5</f>
        <v>-37460.583746812496</v>
      </c>
      <c r="N5" s="127"/>
      <c r="O5" s="127">
        <f>-O4*$C$5</f>
        <v>-38397.0983404828</v>
      </c>
      <c r="P5" s="127"/>
      <c r="Q5" s="127">
        <f>-Q4*$C$5</f>
        <v>-39357.025798994873</v>
      </c>
      <c r="R5" s="127"/>
      <c r="S5" s="127">
        <f>-S4*$C$5</f>
        <v>-40340.951443969738</v>
      </c>
      <c r="T5" s="127"/>
      <c r="U5" s="127">
        <f>-U4*$C$5</f>
        <v>-41349.47523006898</v>
      </c>
      <c r="V5" s="127"/>
      <c r="W5" s="127">
        <f>-W4*$C$5</f>
        <v>-42383.212110820699</v>
      </c>
      <c r="X5" s="127"/>
      <c r="Y5" s="127">
        <f>-Y4*$C$5</f>
        <v>-43442.792413591211</v>
      </c>
      <c r="Z5" s="127"/>
      <c r="AA5" s="127">
        <f>-AA4*$C$5</f>
        <v>-44528.862223930984</v>
      </c>
      <c r="AB5" s="127"/>
      <c r="AC5" s="127">
        <f>-AC4*$C$5</f>
        <v>-45642.083779529261</v>
      </c>
      <c r="AD5" s="127"/>
      <c r="AE5" s="127">
        <f>-AE4*$C$5</f>
        <v>-46783.135874017491</v>
      </c>
      <c r="AF5" s="127"/>
      <c r="AG5" s="127">
        <f>-AG4*$C$5</f>
        <v>-47952.714270867924</v>
      </c>
    </row>
    <row r="6" spans="1:34" s="117" customFormat="1" ht="14">
      <c r="A6" s="117" t="s">
        <v>2700</v>
      </c>
      <c r="C6" s="1100">
        <v>1.0249999999999999</v>
      </c>
      <c r="E6" s="128">
        <f>Application!Z809</f>
        <v>698136</v>
      </c>
      <c r="F6" s="128"/>
      <c r="G6" s="128">
        <f>E6*$C$6</f>
        <v>715589.39999999991</v>
      </c>
      <c r="H6" s="128"/>
      <c r="I6" s="128">
        <f>G6*$C$6</f>
        <v>733479.13499999989</v>
      </c>
      <c r="J6" s="128"/>
      <c r="K6" s="128">
        <f>I6*$C$6</f>
        <v>751816.11337499984</v>
      </c>
      <c r="L6" s="128"/>
      <c r="M6" s="128">
        <f>K6*$C$6</f>
        <v>770611.51620937476</v>
      </c>
      <c r="N6" s="128"/>
      <c r="O6" s="128">
        <f>M6*$C$6</f>
        <v>789876.80411460903</v>
      </c>
      <c r="P6" s="128"/>
      <c r="Q6" s="128">
        <f>O6*$C$6</f>
        <v>809623.72421747423</v>
      </c>
      <c r="R6" s="128"/>
      <c r="S6" s="128">
        <f>Q6*$C$6</f>
        <v>829864.317322911</v>
      </c>
      <c r="T6" s="128"/>
      <c r="U6" s="128">
        <f>S6*$C$6</f>
        <v>850610.92525598372</v>
      </c>
      <c r="V6" s="128"/>
      <c r="W6" s="128">
        <f>U6*$C$6</f>
        <v>871876.19838738325</v>
      </c>
      <c r="X6" s="128"/>
      <c r="Y6" s="128">
        <f>W6*$C$6</f>
        <v>893673.10334706772</v>
      </c>
      <c r="Z6" s="128"/>
      <c r="AA6" s="128">
        <f>Y6*$C$6</f>
        <v>916014.93093074439</v>
      </c>
      <c r="AB6" s="128"/>
      <c r="AC6" s="128">
        <f>AA6*$C$6</f>
        <v>938915.30420401297</v>
      </c>
      <c r="AD6" s="128"/>
      <c r="AE6" s="128">
        <f>AC6*$C$6</f>
        <v>962388.18680911325</v>
      </c>
      <c r="AF6" s="128"/>
      <c r="AG6" s="128">
        <f>AE6*$C$6</f>
        <v>986447.89147934096</v>
      </c>
    </row>
    <row r="7" spans="1:34" s="117" customFormat="1" ht="14">
      <c r="B7" s="117" t="s">
        <v>2265</v>
      </c>
      <c r="C7" s="1101">
        <f>IF(Application!$D$211="Special Needs",(((0.1*Application!$T$212)+(0.05*(1-Application!$T$212)))),0.05)</f>
        <v>0.05</v>
      </c>
      <c r="E7" s="127">
        <f>-E6*$C$7</f>
        <v>-34906.800000000003</v>
      </c>
      <c r="F7" s="127"/>
      <c r="G7" s="127">
        <f>-G6*$C$7</f>
        <v>-35779.469999999994</v>
      </c>
      <c r="H7" s="127"/>
      <c r="I7" s="127">
        <f>-I6*$C$7</f>
        <v>-36673.956749999998</v>
      </c>
      <c r="J7" s="127"/>
      <c r="K7" s="127">
        <f>-K6*$C$7</f>
        <v>-37590.805668749992</v>
      </c>
      <c r="L7" s="127"/>
      <c r="M7" s="127">
        <f>-M6*$C$7</f>
        <v>-38530.575810468741</v>
      </c>
      <c r="N7" s="127"/>
      <c r="O7" s="127">
        <f>-O6*$C$7</f>
        <v>-39493.840205730456</v>
      </c>
      <c r="P7" s="127"/>
      <c r="Q7" s="127">
        <f>-Q6*$C$7</f>
        <v>-40481.186210873711</v>
      </c>
      <c r="R7" s="127"/>
      <c r="S7" s="127">
        <f>-S6*$C$7</f>
        <v>-41493.215866145554</v>
      </c>
      <c r="T7" s="127"/>
      <c r="U7" s="127">
        <f>-U6*$C$7</f>
        <v>-42530.546262799187</v>
      </c>
      <c r="V7" s="127"/>
      <c r="W7" s="127">
        <f>-W6*$C$7</f>
        <v>-43593.809919369167</v>
      </c>
      <c r="X7" s="127"/>
      <c r="Y7" s="127">
        <f>-Y6*$C$7</f>
        <v>-44683.65516735339</v>
      </c>
      <c r="Z7" s="127"/>
      <c r="AA7" s="127">
        <f>-AA6*$C$7</f>
        <v>-45800.746546537222</v>
      </c>
      <c r="AB7" s="127"/>
      <c r="AC7" s="127">
        <f>-AC6*$C$7</f>
        <v>-46945.765210200654</v>
      </c>
      <c r="AD7" s="127"/>
      <c r="AE7" s="127">
        <f>-AE6*$C$7</f>
        <v>-48119.409340455662</v>
      </c>
      <c r="AF7" s="127"/>
      <c r="AG7" s="127">
        <f>-AG6*$C$7</f>
        <v>-49322.394573967053</v>
      </c>
    </row>
    <row r="8" spans="1:34" s="117" customFormat="1" ht="14">
      <c r="A8" s="117" t="s">
        <v>215</v>
      </c>
      <c r="C8" s="1100">
        <v>1.0249999999999999</v>
      </c>
      <c r="E8" s="128">
        <f>Application!Z817</f>
        <v>10176</v>
      </c>
      <c r="F8" s="128"/>
      <c r="G8" s="128">
        <f>E8*$C$8</f>
        <v>10430.4</v>
      </c>
      <c r="H8" s="128"/>
      <c r="I8" s="128">
        <f>G8*$C$8</f>
        <v>10691.159999999998</v>
      </c>
      <c r="J8" s="128"/>
      <c r="K8" s="128">
        <f>I8*$C$8</f>
        <v>10958.438999999997</v>
      </c>
      <c r="L8" s="128"/>
      <c r="M8" s="128">
        <f>K8*$C$8</f>
        <v>11232.399974999995</v>
      </c>
      <c r="N8" s="128"/>
      <c r="O8" s="128">
        <f>M8*$C$8</f>
        <v>11513.209974374993</v>
      </c>
      <c r="P8" s="128"/>
      <c r="Q8" s="128">
        <f>O8*$C$8</f>
        <v>11801.040223734368</v>
      </c>
      <c r="R8" s="128"/>
      <c r="S8" s="128">
        <f>Q8*$C$8</f>
        <v>12096.066229327726</v>
      </c>
      <c r="T8" s="128"/>
      <c r="U8" s="128">
        <f>S8*$C$8</f>
        <v>12398.467885060918</v>
      </c>
      <c r="V8" s="128"/>
      <c r="W8" s="128">
        <f>U8*$C$8</f>
        <v>12708.42958218744</v>
      </c>
      <c r="X8" s="128"/>
      <c r="Y8" s="128">
        <f>W8*$C$8</f>
        <v>13026.140321742125</v>
      </c>
      <c r="Z8" s="128"/>
      <c r="AA8" s="128">
        <f>Y8*$C$8</f>
        <v>13351.793829785676</v>
      </c>
      <c r="AB8" s="128"/>
      <c r="AC8" s="128">
        <f>AA8*$C$8</f>
        <v>13685.588675530316</v>
      </c>
      <c r="AD8" s="128"/>
      <c r="AE8" s="128">
        <f>AC8*$C$8</f>
        <v>14027.728392418572</v>
      </c>
      <c r="AF8" s="128"/>
      <c r="AG8" s="128">
        <f>AE8*$C$8</f>
        <v>14378.421602229035</v>
      </c>
    </row>
    <row r="9" spans="1:34" s="117" customFormat="1" ht="14">
      <c r="B9" s="117" t="s">
        <v>2265</v>
      </c>
      <c r="C9" s="1101">
        <f>IF(Application!$D$211="Special Needs",(((0.1*Application!$T$212)+(0.05*(1-Application!$T$212)))),0.05)</f>
        <v>0.05</v>
      </c>
      <c r="E9" s="127">
        <f>-E8*$C$9</f>
        <v>-508.8</v>
      </c>
      <c r="F9" s="127"/>
      <c r="G9" s="127">
        <f>-G8*$C$9</f>
        <v>-521.52</v>
      </c>
      <c r="H9" s="127"/>
      <c r="I9" s="127">
        <f>-I8*$C$9</f>
        <v>-534.55799999999988</v>
      </c>
      <c r="J9" s="127"/>
      <c r="K9" s="127">
        <f>-K8*$C$9</f>
        <v>-547.92194999999981</v>
      </c>
      <c r="L9" s="127"/>
      <c r="M9" s="127">
        <f>-M8*$C$9</f>
        <v>-561.61999874999981</v>
      </c>
      <c r="N9" s="127"/>
      <c r="O9" s="127">
        <f>-O8*$C$9</f>
        <v>-575.66049871874964</v>
      </c>
      <c r="P9" s="127"/>
      <c r="Q9" s="127">
        <f>-Q8*$C$9</f>
        <v>-590.05201118671846</v>
      </c>
      <c r="R9" s="127"/>
      <c r="S9" s="127">
        <f>-S8*$C$9</f>
        <v>-604.80331146638628</v>
      </c>
      <c r="T9" s="127"/>
      <c r="U9" s="127">
        <f>-U8*$C$9</f>
        <v>-619.9233942530459</v>
      </c>
      <c r="V9" s="127"/>
      <c r="W9" s="127">
        <f>-W8*$C$9</f>
        <v>-635.42147910937206</v>
      </c>
      <c r="X9" s="127"/>
      <c r="Y9" s="127">
        <f>-Y8*$C$9</f>
        <v>-651.30701608710626</v>
      </c>
      <c r="Z9" s="127"/>
      <c r="AA9" s="127">
        <f>-AA8*$C$9</f>
        <v>-667.58969148928384</v>
      </c>
      <c r="AB9" s="127"/>
      <c r="AC9" s="127">
        <f>-AC8*$C$9</f>
        <v>-684.27943377651582</v>
      </c>
      <c r="AD9" s="127"/>
      <c r="AE9" s="127">
        <f>-AE8*$C$9</f>
        <v>-701.38641962092868</v>
      </c>
      <c r="AF9" s="127"/>
      <c r="AG9" s="127">
        <f>-AG8*$C$9</f>
        <v>-718.92108011145183</v>
      </c>
    </row>
    <row r="10" spans="1:34" s="117" customFormat="1" ht="14">
      <c r="A10" s="926" t="s">
        <v>2701</v>
      </c>
      <c r="B10" s="926"/>
      <c r="C10" s="1101"/>
      <c r="E10" s="927"/>
      <c r="F10" s="128"/>
      <c r="G10" s="927"/>
      <c r="H10" s="128"/>
      <c r="I10" s="927"/>
      <c r="J10" s="128"/>
      <c r="K10" s="927"/>
      <c r="L10" s="128"/>
      <c r="M10" s="927"/>
      <c r="N10" s="128"/>
      <c r="O10" s="927"/>
      <c r="P10" s="128"/>
      <c r="Q10" s="927"/>
      <c r="R10" s="128"/>
      <c r="S10" s="927"/>
      <c r="T10" s="128"/>
      <c r="U10" s="927"/>
      <c r="V10" s="128"/>
      <c r="W10" s="927"/>
      <c r="X10" s="128"/>
      <c r="Y10" s="927"/>
      <c r="Z10" s="128"/>
      <c r="AA10" s="927"/>
      <c r="AB10" s="128"/>
      <c r="AC10" s="927"/>
      <c r="AD10" s="128"/>
      <c r="AE10" s="927"/>
      <c r="AF10" s="128"/>
      <c r="AG10" s="927"/>
    </row>
    <row r="11" spans="1:34" s="129" customFormat="1" ht="14">
      <c r="A11" s="129" t="s">
        <v>2702</v>
      </c>
      <c r="C11" s="122"/>
      <c r="E11" s="129">
        <f>SUM(E4:E10)</f>
        <v>1317707.76</v>
      </c>
      <c r="G11" s="129">
        <f>SUM(G4:G10)</f>
        <v>1350650.4539999997</v>
      </c>
      <c r="I11" s="129">
        <f>SUM(I4:I10)</f>
        <v>1384416.71535</v>
      </c>
      <c r="K11" s="129">
        <f>SUM(K4:K10)</f>
        <v>1419027.1332337495</v>
      </c>
      <c r="M11" s="129">
        <f>SUM(M4:M10)</f>
        <v>1454502.8115645933</v>
      </c>
      <c r="O11" s="129">
        <f>SUM(O4:O10)</f>
        <v>1490865.3818537081</v>
      </c>
      <c r="Q11" s="129">
        <f>SUM(Q4:Q10)</f>
        <v>1528137.0164000506</v>
      </c>
      <c r="S11" s="129">
        <f>SUM(S4:S10)</f>
        <v>1566340.4418100519</v>
      </c>
      <c r="U11" s="129">
        <f>SUM(U4:U10)</f>
        <v>1605498.9528553027</v>
      </c>
      <c r="W11" s="129">
        <f>SUM(W4:W10)</f>
        <v>1645636.4266766855</v>
      </c>
      <c r="Y11" s="129">
        <f>SUM(Y4:Y10)</f>
        <v>1686777.3373436024</v>
      </c>
      <c r="AA11" s="129">
        <f>SUM(AA4:AA10)</f>
        <v>1728946.7707771922</v>
      </c>
      <c r="AC11" s="129">
        <f>SUM(AC4:AC10)</f>
        <v>1772170.440046622</v>
      </c>
      <c r="AE11" s="129">
        <f>SUM(AE4:AE10)</f>
        <v>1816474.7010477874</v>
      </c>
      <c r="AG11" s="129">
        <f>SUM(AG4:AG10)</f>
        <v>1861886.568573982</v>
      </c>
    </row>
    <row r="12" spans="1:34">
      <c r="C12" s="762"/>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5.5">
      <c r="A13" s="119" t="s">
        <v>2703</v>
      </c>
      <c r="C13" s="762"/>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4">
      <c r="A14" s="117" t="s">
        <v>2704</v>
      </c>
      <c r="C14" s="1100">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4">
      <c r="A15" s="125" t="s">
        <v>2705</v>
      </c>
      <c r="C15" s="770"/>
      <c r="E15" s="125">
        <f>Application!W847</f>
        <v>56000</v>
      </c>
      <c r="G15" s="125">
        <f>E15*$C$14</f>
        <v>57959.999999999993</v>
      </c>
      <c r="I15" s="125">
        <f>G15*$C$14</f>
        <v>59988.599999999991</v>
      </c>
      <c r="K15" s="125">
        <f>I15*$C$14</f>
        <v>62088.200999999986</v>
      </c>
      <c r="M15" s="125">
        <f>K15*$C$14</f>
        <v>64261.288034999983</v>
      </c>
      <c r="O15" s="125">
        <f>M15*$C$14</f>
        <v>66510.433116224973</v>
      </c>
      <c r="Q15" s="125">
        <f>O15*$C$14</f>
        <v>68838.298275292836</v>
      </c>
      <c r="S15" s="125">
        <f>Q15*$C$14</f>
        <v>71247.638714928078</v>
      </c>
      <c r="U15" s="125">
        <f>S15*$C$14</f>
        <v>73741.306069950559</v>
      </c>
      <c r="W15" s="125">
        <f>U15*$C$14</f>
        <v>76322.251782398816</v>
      </c>
      <c r="Y15" s="125">
        <f>W15*$C$14</f>
        <v>78993.530594782773</v>
      </c>
      <c r="AA15" s="125">
        <f>Y15*$C$14</f>
        <v>81758.304165600159</v>
      </c>
      <c r="AC15" s="125">
        <f>AA15*$C$14</f>
        <v>84619.844811396164</v>
      </c>
      <c r="AE15" s="125">
        <f>AC15*$C$14</f>
        <v>87581.539379795024</v>
      </c>
      <c r="AG15" s="125">
        <f>AE15*$C$14</f>
        <v>90646.893258087846</v>
      </c>
    </row>
    <row r="16" spans="1:34" s="117" customFormat="1" ht="14">
      <c r="A16" s="117" t="s">
        <v>1548</v>
      </c>
      <c r="C16" s="762"/>
      <c r="E16" s="128">
        <f>Application!W849</f>
        <v>45400</v>
      </c>
      <c r="F16" s="128"/>
      <c r="G16" s="128">
        <f t="shared" ref="G16:AG21" si="0">E16*$C$14</f>
        <v>46989</v>
      </c>
      <c r="H16" s="128"/>
      <c r="I16" s="128">
        <f t="shared" si="0"/>
        <v>48633.614999999998</v>
      </c>
      <c r="J16" s="128"/>
      <c r="K16" s="128">
        <f t="shared" si="0"/>
        <v>50335.791524999993</v>
      </c>
      <c r="L16" s="128"/>
      <c r="M16" s="128">
        <f t="shared" si="0"/>
        <v>52097.544228374987</v>
      </c>
      <c r="N16" s="128"/>
      <c r="O16" s="128">
        <f t="shared" si="0"/>
        <v>53920.95827636811</v>
      </c>
      <c r="P16" s="128"/>
      <c r="Q16" s="128">
        <f t="shared" si="0"/>
        <v>55808.191816040991</v>
      </c>
      <c r="R16" s="128"/>
      <c r="S16" s="128">
        <f t="shared" si="0"/>
        <v>57761.47852960242</v>
      </c>
      <c r="T16" s="128"/>
      <c r="U16" s="128">
        <f t="shared" si="0"/>
        <v>59783.130278138502</v>
      </c>
      <c r="V16" s="128"/>
      <c r="W16" s="128">
        <f t="shared" si="0"/>
        <v>61875.539837873344</v>
      </c>
      <c r="X16" s="128"/>
      <c r="Y16" s="128">
        <f t="shared" si="0"/>
        <v>64041.183732198908</v>
      </c>
      <c r="Z16" s="128"/>
      <c r="AA16" s="128">
        <f t="shared" si="0"/>
        <v>66282.625162825861</v>
      </c>
      <c r="AB16" s="128"/>
      <c r="AC16" s="128">
        <f t="shared" si="0"/>
        <v>68602.517043524756</v>
      </c>
      <c r="AD16" s="128"/>
      <c r="AE16" s="128">
        <f t="shared" si="0"/>
        <v>71003.605140048123</v>
      </c>
      <c r="AF16" s="128"/>
      <c r="AG16" s="128">
        <f t="shared" si="0"/>
        <v>73488.731319949802</v>
      </c>
    </row>
    <row r="17" spans="1:33" s="117" customFormat="1" ht="14">
      <c r="A17" s="117" t="s">
        <v>230</v>
      </c>
      <c r="C17" s="762"/>
      <c r="E17" s="128">
        <f>Application!W855</f>
        <v>50300</v>
      </c>
      <c r="F17" s="128"/>
      <c r="G17" s="128">
        <f t="shared" si="0"/>
        <v>52060.499999999993</v>
      </c>
      <c r="H17" s="128"/>
      <c r="I17" s="128">
        <f t="shared" si="0"/>
        <v>53882.617499999986</v>
      </c>
      <c r="J17" s="128"/>
      <c r="K17" s="128">
        <f t="shared" si="0"/>
        <v>55768.509112499982</v>
      </c>
      <c r="L17" s="128"/>
      <c r="M17" s="128">
        <f t="shared" si="0"/>
        <v>57720.406931437479</v>
      </c>
      <c r="N17" s="128"/>
      <c r="O17" s="128">
        <f t="shared" si="0"/>
        <v>59740.621174037784</v>
      </c>
      <c r="P17" s="128"/>
      <c r="Q17" s="128">
        <f t="shared" si="0"/>
        <v>61831.542915129103</v>
      </c>
      <c r="R17" s="128"/>
      <c r="S17" s="128">
        <f t="shared" si="0"/>
        <v>63995.646917158614</v>
      </c>
      <c r="T17" s="128"/>
      <c r="U17" s="128">
        <f t="shared" si="0"/>
        <v>66235.494559259154</v>
      </c>
      <c r="V17" s="128"/>
      <c r="W17" s="128">
        <f t="shared" si="0"/>
        <v>68553.736868833221</v>
      </c>
      <c r="X17" s="128"/>
      <c r="Y17" s="128">
        <f t="shared" si="0"/>
        <v>70953.117659242373</v>
      </c>
      <c r="Z17" s="128"/>
      <c r="AA17" s="128">
        <f t="shared" si="0"/>
        <v>73436.476777315853</v>
      </c>
      <c r="AB17" s="128"/>
      <c r="AC17" s="128">
        <f t="shared" si="0"/>
        <v>76006.753464521898</v>
      </c>
      <c r="AD17" s="128"/>
      <c r="AE17" s="128">
        <f t="shared" si="0"/>
        <v>78666.989835780158</v>
      </c>
      <c r="AF17" s="128"/>
      <c r="AG17" s="128">
        <f t="shared" si="0"/>
        <v>81420.334480032456</v>
      </c>
    </row>
    <row r="18" spans="1:33" s="117" customFormat="1" ht="14">
      <c r="A18" s="117" t="s">
        <v>2706</v>
      </c>
      <c r="C18" s="762"/>
      <c r="E18" s="128">
        <f>Application!W862</f>
        <v>128200</v>
      </c>
      <c r="F18" s="128"/>
      <c r="G18" s="128">
        <f t="shared" si="0"/>
        <v>132687</v>
      </c>
      <c r="H18" s="128"/>
      <c r="I18" s="128">
        <f t="shared" si="0"/>
        <v>137331.04499999998</v>
      </c>
      <c r="J18" s="128"/>
      <c r="K18" s="128">
        <f t="shared" si="0"/>
        <v>142137.63157499998</v>
      </c>
      <c r="L18" s="128"/>
      <c r="M18" s="128">
        <f t="shared" si="0"/>
        <v>147112.44868012497</v>
      </c>
      <c r="N18" s="128"/>
      <c r="O18" s="128">
        <f t="shared" si="0"/>
        <v>152261.38438392934</v>
      </c>
      <c r="P18" s="128"/>
      <c r="Q18" s="128">
        <f t="shared" si="0"/>
        <v>157590.53283736686</v>
      </c>
      <c r="R18" s="128"/>
      <c r="S18" s="128">
        <f t="shared" si="0"/>
        <v>163106.20148667469</v>
      </c>
      <c r="T18" s="128"/>
      <c r="U18" s="128">
        <f t="shared" si="0"/>
        <v>168814.9185387083</v>
      </c>
      <c r="V18" s="128"/>
      <c r="W18" s="128">
        <f t="shared" si="0"/>
        <v>174723.44068756307</v>
      </c>
      <c r="X18" s="128"/>
      <c r="Y18" s="128">
        <f t="shared" si="0"/>
        <v>180838.76111162777</v>
      </c>
      <c r="Z18" s="128"/>
      <c r="AA18" s="128">
        <f t="shared" si="0"/>
        <v>187168.11775053473</v>
      </c>
      <c r="AB18" s="128"/>
      <c r="AC18" s="128">
        <f t="shared" si="0"/>
        <v>193719.00187180343</v>
      </c>
      <c r="AD18" s="128"/>
      <c r="AE18" s="128">
        <f t="shared" si="0"/>
        <v>200499.16693731654</v>
      </c>
      <c r="AF18" s="128"/>
      <c r="AG18" s="128">
        <f t="shared" si="0"/>
        <v>207516.6377801226</v>
      </c>
    </row>
    <row r="19" spans="1:33" s="117" customFormat="1" ht="14">
      <c r="A19" s="117" t="s">
        <v>1794</v>
      </c>
      <c r="C19" s="762"/>
      <c r="E19" s="128">
        <f>Application!W863</f>
        <v>49700</v>
      </c>
      <c r="F19" s="128"/>
      <c r="G19" s="128">
        <f t="shared" si="0"/>
        <v>51439.499999999993</v>
      </c>
      <c r="H19" s="128"/>
      <c r="I19" s="128">
        <f t="shared" si="0"/>
        <v>53239.882499999985</v>
      </c>
      <c r="J19" s="128"/>
      <c r="K19" s="128">
        <f t="shared" si="0"/>
        <v>55103.27838749998</v>
      </c>
      <c r="L19" s="128"/>
      <c r="M19" s="128">
        <f t="shared" si="0"/>
        <v>57031.893131062476</v>
      </c>
      <c r="N19" s="128"/>
      <c r="O19" s="128">
        <f t="shared" si="0"/>
        <v>59028.009390649655</v>
      </c>
      <c r="P19" s="128"/>
      <c r="Q19" s="128">
        <f t="shared" si="0"/>
        <v>61093.989719322388</v>
      </c>
      <c r="R19" s="128"/>
      <c r="S19" s="128">
        <f t="shared" si="0"/>
        <v>63232.279359498665</v>
      </c>
      <c r="T19" s="128"/>
      <c r="U19" s="128">
        <f t="shared" si="0"/>
        <v>65445.409137081115</v>
      </c>
      <c r="V19" s="128"/>
      <c r="W19" s="128">
        <f t="shared" si="0"/>
        <v>67735.998456878951</v>
      </c>
      <c r="X19" s="128"/>
      <c r="Y19" s="128">
        <f t="shared" si="0"/>
        <v>70106.758402869717</v>
      </c>
      <c r="Z19" s="128"/>
      <c r="AA19" s="128">
        <f t="shared" si="0"/>
        <v>72560.494946970153</v>
      </c>
      <c r="AB19" s="128"/>
      <c r="AC19" s="128">
        <f t="shared" si="0"/>
        <v>75100.112270114099</v>
      </c>
      <c r="AD19" s="128"/>
      <c r="AE19" s="128">
        <f t="shared" si="0"/>
        <v>77728.616199568089</v>
      </c>
      <c r="AF19" s="128"/>
      <c r="AG19" s="128">
        <f t="shared" si="0"/>
        <v>80449.117766552969</v>
      </c>
    </row>
    <row r="20" spans="1:33" s="117" customFormat="1" ht="14">
      <c r="A20" s="117" t="s">
        <v>232</v>
      </c>
      <c r="C20" s="762"/>
      <c r="E20" s="128">
        <f>Application!W872</f>
        <v>41420</v>
      </c>
      <c r="F20" s="128"/>
      <c r="G20" s="128">
        <f t="shared" si="0"/>
        <v>42869.7</v>
      </c>
      <c r="H20" s="128"/>
      <c r="I20" s="128">
        <f t="shared" si="0"/>
        <v>44370.13949999999</v>
      </c>
      <c r="J20" s="128"/>
      <c r="K20" s="128">
        <f t="shared" si="0"/>
        <v>45923.094382499985</v>
      </c>
      <c r="L20" s="128"/>
      <c r="M20" s="128">
        <f t="shared" si="0"/>
        <v>47530.402685887479</v>
      </c>
      <c r="N20" s="128"/>
      <c r="O20" s="128">
        <f t="shared" si="0"/>
        <v>49193.966779893533</v>
      </c>
      <c r="P20" s="128"/>
      <c r="Q20" s="128">
        <f t="shared" si="0"/>
        <v>50915.755617189803</v>
      </c>
      <c r="R20" s="128"/>
      <c r="S20" s="128">
        <f t="shared" si="0"/>
        <v>52697.807063791442</v>
      </c>
      <c r="T20" s="128"/>
      <c r="U20" s="128">
        <f t="shared" si="0"/>
        <v>54542.230311024141</v>
      </c>
      <c r="V20" s="128"/>
      <c r="W20" s="128">
        <f t="shared" si="0"/>
        <v>56451.208371909983</v>
      </c>
      <c r="X20" s="128"/>
      <c r="Y20" s="128">
        <f t="shared" si="0"/>
        <v>58427.000664926825</v>
      </c>
      <c r="Z20" s="128"/>
      <c r="AA20" s="128">
        <f t="shared" si="0"/>
        <v>60471.945688199259</v>
      </c>
      <c r="AB20" s="128"/>
      <c r="AC20" s="128">
        <f t="shared" si="0"/>
        <v>62588.463787286229</v>
      </c>
      <c r="AD20" s="128"/>
      <c r="AE20" s="128">
        <f t="shared" si="0"/>
        <v>64779.060019841243</v>
      </c>
      <c r="AF20" s="128"/>
      <c r="AG20" s="128">
        <f t="shared" si="0"/>
        <v>67046.327120535687</v>
      </c>
    </row>
    <row r="21" spans="1:33" s="117" customFormat="1" ht="14">
      <c r="A21" s="132" t="s">
        <v>2707</v>
      </c>
      <c r="B21" s="132"/>
      <c r="C21" s="762"/>
      <c r="E21" s="138">
        <f>Application!W879</f>
        <v>0</v>
      </c>
      <c r="F21" s="128"/>
      <c r="G21" s="138">
        <f t="shared" si="0"/>
        <v>0</v>
      </c>
      <c r="H21" s="128"/>
      <c r="I21" s="138">
        <f t="shared" si="0"/>
        <v>0</v>
      </c>
      <c r="J21" s="128"/>
      <c r="K21" s="138">
        <f t="shared" si="0"/>
        <v>0</v>
      </c>
      <c r="L21" s="128"/>
      <c r="M21" s="138">
        <f t="shared" si="0"/>
        <v>0</v>
      </c>
      <c r="N21" s="128"/>
      <c r="O21" s="138">
        <f t="shared" si="0"/>
        <v>0</v>
      </c>
      <c r="P21" s="128"/>
      <c r="Q21" s="138">
        <f t="shared" si="0"/>
        <v>0</v>
      </c>
      <c r="R21" s="128"/>
      <c r="S21" s="138">
        <f t="shared" si="0"/>
        <v>0</v>
      </c>
      <c r="T21" s="128"/>
      <c r="U21" s="138">
        <f t="shared" si="0"/>
        <v>0</v>
      </c>
      <c r="V21" s="128"/>
      <c r="W21" s="138">
        <f t="shared" si="0"/>
        <v>0</v>
      </c>
      <c r="X21" s="128"/>
      <c r="Y21" s="138">
        <f t="shared" si="0"/>
        <v>0</v>
      </c>
      <c r="Z21" s="128"/>
      <c r="AA21" s="138">
        <f t="shared" si="0"/>
        <v>0</v>
      </c>
      <c r="AB21" s="128"/>
      <c r="AC21" s="138">
        <f t="shared" si="0"/>
        <v>0</v>
      </c>
      <c r="AD21" s="128"/>
      <c r="AE21" s="138">
        <f t="shared" si="0"/>
        <v>0</v>
      </c>
      <c r="AF21" s="128"/>
      <c r="AG21" s="138">
        <f t="shared" si="0"/>
        <v>0</v>
      </c>
    </row>
    <row r="22" spans="1:33" s="129" customFormat="1" ht="14">
      <c r="A22" s="129" t="s">
        <v>2708</v>
      </c>
      <c r="C22" s="762"/>
      <c r="E22" s="129">
        <f>SUM(E15:E21)</f>
        <v>371020</v>
      </c>
      <c r="G22" s="129">
        <f>SUM(G15:G21)</f>
        <v>384005.7</v>
      </c>
      <c r="I22" s="129">
        <f>SUM(I15:I21)</f>
        <v>397445.89949999994</v>
      </c>
      <c r="K22" s="129">
        <f>SUM(K15:K21)</f>
        <v>411356.50598249986</v>
      </c>
      <c r="M22" s="129">
        <f>SUM(M15:M21)</f>
        <v>425753.98369188741</v>
      </c>
      <c r="O22" s="129">
        <f>SUM(O15:O21)</f>
        <v>440655.37312110345</v>
      </c>
      <c r="Q22" s="129">
        <f>SUM(Q15:Q21)</f>
        <v>456078.31118034199</v>
      </c>
      <c r="S22" s="129">
        <f>SUM(S15:S21)</f>
        <v>472041.05207165389</v>
      </c>
      <c r="U22" s="129">
        <f>SUM(U15:U21)</f>
        <v>488562.48889416177</v>
      </c>
      <c r="W22" s="129">
        <f>SUM(W15:W21)</f>
        <v>505662.17600545735</v>
      </c>
      <c r="Y22" s="129">
        <f>SUM(Y15:Y21)</f>
        <v>523360.35216564836</v>
      </c>
      <c r="AA22" s="129">
        <f>SUM(AA15:AA21)</f>
        <v>541677.96449144604</v>
      </c>
      <c r="AC22" s="129">
        <f>SUM(AC15:AC21)</f>
        <v>560636.69324864657</v>
      </c>
      <c r="AE22" s="129">
        <f>SUM(AE15:AE21)</f>
        <v>580258.97751234914</v>
      </c>
      <c r="AG22" s="129">
        <f>SUM(AG15:AG21)</f>
        <v>600568.04172528128</v>
      </c>
    </row>
    <row r="23" spans="1:33" s="117" customFormat="1" ht="14">
      <c r="C23" s="762"/>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4">
      <c r="A24" s="117" t="s">
        <v>2709</v>
      </c>
      <c r="C24" s="762"/>
      <c r="E24" s="716"/>
      <c r="F24" s="128"/>
      <c r="G24" s="128">
        <f>E24*$C$24</f>
        <v>0</v>
      </c>
      <c r="H24" s="128"/>
      <c r="I24" s="128">
        <f>G24*$C$24</f>
        <v>0</v>
      </c>
      <c r="J24" s="128"/>
      <c r="K24" s="128">
        <f>I24*$C$24</f>
        <v>0</v>
      </c>
      <c r="L24" s="128"/>
      <c r="M24" s="128">
        <f>K24*$C$24</f>
        <v>0</v>
      </c>
      <c r="N24" s="128"/>
      <c r="O24" s="128">
        <f>M24*$C$24</f>
        <v>0</v>
      </c>
      <c r="P24" s="128"/>
      <c r="Q24" s="128">
        <f>O24*$C$24</f>
        <v>0</v>
      </c>
      <c r="R24" s="128"/>
      <c r="S24" s="128">
        <f>Q24*$C$24</f>
        <v>0</v>
      </c>
      <c r="T24" s="128"/>
      <c r="U24" s="128">
        <f>S24*$C$24</f>
        <v>0</v>
      </c>
      <c r="V24" s="128"/>
      <c r="W24" s="128">
        <f>U24*$C$24</f>
        <v>0</v>
      </c>
      <c r="X24" s="128"/>
      <c r="Y24" s="128">
        <f>W24*$C$24</f>
        <v>0</v>
      </c>
      <c r="Z24" s="128"/>
      <c r="AA24" s="128">
        <f>Y24*$C$24</f>
        <v>0</v>
      </c>
      <c r="AB24" s="128"/>
      <c r="AC24" s="128">
        <f>AA24*$C$24</f>
        <v>0</v>
      </c>
      <c r="AD24" s="128"/>
      <c r="AE24" s="128">
        <f>AC24*$C$24</f>
        <v>0</v>
      </c>
      <c r="AF24" s="128"/>
      <c r="AG24" s="128">
        <f>AE24*$C$24</f>
        <v>0</v>
      </c>
    </row>
    <row r="25" spans="1:33" s="117" customFormat="1" ht="14">
      <c r="C25" s="76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4">
      <c r="A26" s="117" t="s">
        <v>2710</v>
      </c>
      <c r="C26" s="1100">
        <v>1.0349999999999999</v>
      </c>
      <c r="E26" s="128">
        <f>Application!AC887</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4">
      <c r="A27" s="117" t="s">
        <v>2316</v>
      </c>
      <c r="C27" s="1100">
        <v>1.0349999999999999</v>
      </c>
      <c r="E27" s="128">
        <f>Application!AC888</f>
        <v>18000</v>
      </c>
      <c r="F27" s="128"/>
      <c r="G27" s="128">
        <f>E27*$C$27</f>
        <v>18630</v>
      </c>
      <c r="H27" s="128"/>
      <c r="I27" s="128">
        <f>G27*$C$27</f>
        <v>19282.05</v>
      </c>
      <c r="J27" s="128"/>
      <c r="K27" s="128">
        <f>I27*$C$27</f>
        <v>19956.921749999998</v>
      </c>
      <c r="L27" s="128"/>
      <c r="M27" s="128">
        <f>K27*$C$27</f>
        <v>20655.414011249995</v>
      </c>
      <c r="N27" s="128"/>
      <c r="O27" s="128">
        <f>M27*$C$27</f>
        <v>21378.353501643742</v>
      </c>
      <c r="P27" s="128"/>
      <c r="Q27" s="128">
        <f>O27*$C$27</f>
        <v>22126.59587420127</v>
      </c>
      <c r="R27" s="128"/>
      <c r="S27" s="128">
        <f>Q27*$C$27</f>
        <v>22901.026729798312</v>
      </c>
      <c r="T27" s="128"/>
      <c r="U27" s="128">
        <f>S27*$C$27</f>
        <v>23702.562665341251</v>
      </c>
      <c r="V27" s="128"/>
      <c r="W27" s="128">
        <f>U27*$C$27</f>
        <v>24532.152358628195</v>
      </c>
      <c r="X27" s="128"/>
      <c r="Y27" s="128">
        <f>W27*$C$27</f>
        <v>25390.777691180181</v>
      </c>
      <c r="Z27" s="128"/>
      <c r="AA27" s="128">
        <f>Y27*$C$27</f>
        <v>26279.454910371485</v>
      </c>
      <c r="AB27" s="128"/>
      <c r="AC27" s="128">
        <f>AA27*$C$27</f>
        <v>27199.235832234484</v>
      </c>
      <c r="AD27" s="128"/>
      <c r="AE27" s="128">
        <f>AC27*$C$27</f>
        <v>28151.209086362691</v>
      </c>
      <c r="AF27" s="128"/>
      <c r="AG27" s="128">
        <f>AE27*$C$27</f>
        <v>29136.501404385384</v>
      </c>
    </row>
    <row r="28" spans="1:33" s="117" customFormat="1" ht="14">
      <c r="A28" s="117" t="s">
        <v>2711</v>
      </c>
      <c r="C28" s="1100"/>
      <c r="E28" s="128">
        <f>Application!AC889</f>
        <v>26500</v>
      </c>
      <c r="F28" s="128"/>
      <c r="G28" s="128">
        <f>$E$28</f>
        <v>26500</v>
      </c>
      <c r="H28" s="128"/>
      <c r="I28" s="128">
        <f>$E$28</f>
        <v>26500</v>
      </c>
      <c r="J28" s="128"/>
      <c r="K28" s="128">
        <f>$E$28</f>
        <v>26500</v>
      </c>
      <c r="L28" s="128"/>
      <c r="M28" s="128">
        <f>$E$28</f>
        <v>26500</v>
      </c>
      <c r="N28" s="128"/>
      <c r="O28" s="128">
        <f>$E$28</f>
        <v>26500</v>
      </c>
      <c r="P28" s="128"/>
      <c r="Q28" s="128">
        <f>$E$28</f>
        <v>26500</v>
      </c>
      <c r="R28" s="128"/>
      <c r="S28" s="128">
        <f>$E$28</f>
        <v>26500</v>
      </c>
      <c r="T28" s="128"/>
      <c r="U28" s="128">
        <f>$E$28</f>
        <v>26500</v>
      </c>
      <c r="V28" s="128"/>
      <c r="W28" s="128">
        <f>$E$28</f>
        <v>26500</v>
      </c>
      <c r="X28" s="128"/>
      <c r="Y28" s="128">
        <f>$E$28</f>
        <v>26500</v>
      </c>
      <c r="Z28" s="128"/>
      <c r="AA28" s="128">
        <f>$E$28</f>
        <v>26500</v>
      </c>
      <c r="AB28" s="128"/>
      <c r="AC28" s="128">
        <f>$E$28</f>
        <v>26500</v>
      </c>
      <c r="AD28" s="128"/>
      <c r="AE28" s="128">
        <f>$E$28</f>
        <v>26500</v>
      </c>
      <c r="AF28" s="128"/>
      <c r="AG28" s="128">
        <f>$E$28</f>
        <v>26500</v>
      </c>
    </row>
    <row r="29" spans="1:33" s="117" customFormat="1" ht="14">
      <c r="A29" s="117" t="s">
        <v>2712</v>
      </c>
      <c r="C29" s="1100"/>
      <c r="E29" s="128">
        <f>Application!AC890</f>
        <v>7500</v>
      </c>
      <c r="F29" s="128"/>
      <c r="G29" s="128">
        <f>$E$29</f>
        <v>7500</v>
      </c>
      <c r="H29" s="128"/>
      <c r="I29" s="128">
        <f>$E$29</f>
        <v>7500</v>
      </c>
      <c r="J29" s="128"/>
      <c r="K29" s="128">
        <f>$E$29</f>
        <v>7500</v>
      </c>
      <c r="L29" s="128"/>
      <c r="M29" s="128">
        <f>$E$29</f>
        <v>7500</v>
      </c>
      <c r="N29" s="128"/>
      <c r="O29" s="128">
        <f>$E$29</f>
        <v>7500</v>
      </c>
      <c r="P29" s="128"/>
      <c r="Q29" s="128">
        <f>$E$29</f>
        <v>7500</v>
      </c>
      <c r="R29" s="128"/>
      <c r="S29" s="128">
        <f>$E$29</f>
        <v>7500</v>
      </c>
      <c r="T29" s="128"/>
      <c r="U29" s="128">
        <f>$E$29</f>
        <v>7500</v>
      </c>
      <c r="V29" s="128"/>
      <c r="W29" s="128">
        <f>$E$29</f>
        <v>7500</v>
      </c>
      <c r="X29" s="128"/>
      <c r="Y29" s="128">
        <f>$E$29</f>
        <v>7500</v>
      </c>
      <c r="Z29" s="128"/>
      <c r="AA29" s="128">
        <f>$E$29</f>
        <v>7500</v>
      </c>
      <c r="AB29" s="128"/>
      <c r="AC29" s="128">
        <f>$E$29</f>
        <v>7500</v>
      </c>
      <c r="AD29" s="128"/>
      <c r="AE29" s="128">
        <f>$E$29</f>
        <v>7500</v>
      </c>
      <c r="AF29" s="128"/>
      <c r="AG29" s="128">
        <f>$E$29</f>
        <v>7500</v>
      </c>
    </row>
    <row r="30" spans="1:33" s="117" customFormat="1" ht="14">
      <c r="A30" s="117" t="s">
        <v>2713</v>
      </c>
      <c r="C30" s="1100">
        <v>1.02</v>
      </c>
      <c r="E30" s="128">
        <f>Application!AC891</f>
        <v>0</v>
      </c>
      <c r="F30" s="128"/>
      <c r="G30" s="128">
        <f>E30*$C$30</f>
        <v>0</v>
      </c>
      <c r="H30" s="128"/>
      <c r="I30" s="128">
        <f>G30*$C$30</f>
        <v>0</v>
      </c>
      <c r="J30" s="128"/>
      <c r="K30" s="128">
        <f>I30*$C$30</f>
        <v>0</v>
      </c>
      <c r="L30" s="128"/>
      <c r="M30" s="128">
        <f>K30*$C$30</f>
        <v>0</v>
      </c>
      <c r="N30" s="128"/>
      <c r="O30" s="128">
        <f>M30*$C$30</f>
        <v>0</v>
      </c>
      <c r="P30" s="128"/>
      <c r="Q30" s="128">
        <f>O30*$C$30</f>
        <v>0</v>
      </c>
      <c r="R30" s="128"/>
      <c r="S30" s="128">
        <f>Q30*$C$30</f>
        <v>0</v>
      </c>
      <c r="T30" s="128"/>
      <c r="U30" s="128">
        <f>S30*$C$30</f>
        <v>0</v>
      </c>
      <c r="V30" s="128"/>
      <c r="W30" s="128">
        <f>U30*$C$30</f>
        <v>0</v>
      </c>
      <c r="X30" s="128"/>
      <c r="Y30" s="128">
        <f>W30*$C$30</f>
        <v>0</v>
      </c>
      <c r="Z30" s="128"/>
      <c r="AA30" s="128">
        <f>Y30*$C$30</f>
        <v>0</v>
      </c>
      <c r="AB30" s="128"/>
      <c r="AC30" s="128">
        <f>AA30*$C$30</f>
        <v>0</v>
      </c>
      <c r="AD30" s="128"/>
      <c r="AE30" s="128">
        <f>AC30*$C$30</f>
        <v>0</v>
      </c>
      <c r="AF30" s="128"/>
      <c r="AG30" s="128">
        <f>AE30*$C$30</f>
        <v>0</v>
      </c>
    </row>
    <row r="31" spans="1:33" s="117" customFormat="1" ht="14">
      <c r="A31" s="117" t="s">
        <v>2714</v>
      </c>
      <c r="C31" s="1100">
        <v>1.02</v>
      </c>
      <c r="E31" s="128">
        <f>Application!AC893</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4">
      <c r="A32" s="117" t="str">
        <f>Application!C894</f>
        <v>Other (Specify):</v>
      </c>
      <c r="C32" s="1102">
        <v>1.0349999999999999</v>
      </c>
      <c r="E32" s="128">
        <f>Application!AC894</f>
        <v>0</v>
      </c>
      <c r="F32" s="128"/>
      <c r="G32" s="128">
        <f>E32*$C$32</f>
        <v>0</v>
      </c>
      <c r="H32" s="128"/>
      <c r="I32" s="128">
        <f>G32*$C$32</f>
        <v>0</v>
      </c>
      <c r="J32" s="128"/>
      <c r="K32" s="128">
        <f>I32*$C$32</f>
        <v>0</v>
      </c>
      <c r="L32" s="128"/>
      <c r="M32" s="128">
        <f>K32*$C$32</f>
        <v>0</v>
      </c>
      <c r="N32" s="128"/>
      <c r="O32" s="128">
        <f>M32*$C$32</f>
        <v>0</v>
      </c>
      <c r="P32" s="128"/>
      <c r="Q32" s="128">
        <f>O32*$C$32</f>
        <v>0</v>
      </c>
      <c r="R32" s="128"/>
      <c r="S32" s="128">
        <f>Q32*$C$32</f>
        <v>0</v>
      </c>
      <c r="T32" s="128"/>
      <c r="U32" s="128">
        <f>S32*$C$32</f>
        <v>0</v>
      </c>
      <c r="V32" s="128"/>
      <c r="W32" s="128">
        <f>U32*$C$32</f>
        <v>0</v>
      </c>
      <c r="X32" s="128"/>
      <c r="Y32" s="128">
        <f>W32*$C$32</f>
        <v>0</v>
      </c>
      <c r="Z32" s="128"/>
      <c r="AA32" s="128">
        <f>Y32*$C$32</f>
        <v>0</v>
      </c>
      <c r="AB32" s="128"/>
      <c r="AC32" s="128">
        <f>AA32*$C$32</f>
        <v>0</v>
      </c>
      <c r="AD32" s="128"/>
      <c r="AE32" s="128">
        <f>AC32*$C$32</f>
        <v>0</v>
      </c>
      <c r="AF32" s="128"/>
      <c r="AG32" s="128">
        <f>AE32*$C$32</f>
        <v>0</v>
      </c>
    </row>
    <row r="33" spans="1:33" s="117" customFormat="1" ht="14">
      <c r="A33" s="117" t="str">
        <f>Application!C895</f>
        <v>Other (Specify):</v>
      </c>
      <c r="C33" s="1102">
        <v>1.0349999999999999</v>
      </c>
      <c r="E33" s="128">
        <f>Application!AC895</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4">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4">
      <c r="A35" s="129" t="s">
        <v>1573</v>
      </c>
      <c r="C35" s="130"/>
      <c r="E35" s="129">
        <f>SUM(E22:E33)</f>
        <v>423020</v>
      </c>
      <c r="G35" s="129">
        <f>SUM(G22:G33)</f>
        <v>436635.7</v>
      </c>
      <c r="I35" s="129">
        <f>SUM(I22:I33)</f>
        <v>450727.94949999993</v>
      </c>
      <c r="K35" s="129">
        <f>SUM(K22:K33)</f>
        <v>465313.42773249984</v>
      </c>
      <c r="M35" s="129">
        <f>SUM(M22:M33)</f>
        <v>480409.39770313742</v>
      </c>
      <c r="O35" s="129">
        <f>SUM(O22:O33)</f>
        <v>496033.7266227472</v>
      </c>
      <c r="Q35" s="129">
        <f>SUM(Q22:Q33)</f>
        <v>512204.90705454326</v>
      </c>
      <c r="S35" s="129">
        <f>SUM(S22:S33)</f>
        <v>528942.07880145218</v>
      </c>
      <c r="U35" s="129">
        <f>SUM(U22:U33)</f>
        <v>546265.05155950296</v>
      </c>
      <c r="W35" s="129">
        <f>SUM(W22:W33)</f>
        <v>564194.32836408552</v>
      </c>
      <c r="Y35" s="129">
        <f>SUM(Y22:Y33)</f>
        <v>582751.1298568286</v>
      </c>
      <c r="AA35" s="129">
        <f>SUM(AA22:AA33)</f>
        <v>601957.41940181749</v>
      </c>
      <c r="AC35" s="129">
        <f>SUM(AC22:AC33)</f>
        <v>621835.92908088106</v>
      </c>
      <c r="AE35" s="129">
        <f>SUM(AE22:AE33)</f>
        <v>642410.18659871188</v>
      </c>
      <c r="AG35" s="129">
        <f>SUM(AG22:AG33)</f>
        <v>663704.54312966671</v>
      </c>
    </row>
    <row r="36" spans="1:33" s="117" customFormat="1" ht="14">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4">
      <c r="A37" s="129" t="s">
        <v>2715</v>
      </c>
      <c r="C37" s="130"/>
      <c r="E37" s="129">
        <f>E11-E35</f>
        <v>894687.76</v>
      </c>
      <c r="G37" s="129">
        <f>G11-G35</f>
        <v>914014.75399999972</v>
      </c>
      <c r="I37" s="129">
        <f>I11-I35</f>
        <v>933688.76585000008</v>
      </c>
      <c r="K37" s="129">
        <f>K11-K35</f>
        <v>953713.70550124976</v>
      </c>
      <c r="M37" s="129">
        <f>M11-M35</f>
        <v>974093.41386145586</v>
      </c>
      <c r="O37" s="129">
        <f>O11-O35</f>
        <v>994831.65523096081</v>
      </c>
      <c r="Q37" s="129">
        <f>Q11-Q35</f>
        <v>1015932.1093455073</v>
      </c>
      <c r="S37" s="129">
        <f>S11-S35</f>
        <v>1037398.3630085997</v>
      </c>
      <c r="U37" s="129">
        <f>U11-U35</f>
        <v>1059233.9012957998</v>
      </c>
      <c r="W37" s="129">
        <f>W11-W35</f>
        <v>1081442.0983126001</v>
      </c>
      <c r="Y37" s="129">
        <f>Y11-Y35</f>
        <v>1104026.2074867738</v>
      </c>
      <c r="AA37" s="129">
        <f>AA11-AA35</f>
        <v>1126989.3513753747</v>
      </c>
      <c r="AC37" s="129">
        <f>AC11-AC35</f>
        <v>1150334.5109657408</v>
      </c>
      <c r="AE37" s="129">
        <f>AE11-AE35</f>
        <v>1174064.5144490756</v>
      </c>
      <c r="AG37" s="129">
        <f>AG11-AG35</f>
        <v>1198182.0254443153</v>
      </c>
    </row>
    <row r="38" spans="1:33" s="117" customFormat="1" ht="14">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4">
      <c r="A39" s="124" t="s">
        <v>2716</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4">
      <c r="A40" s="131" t="str">
        <f>Application!C627</f>
        <v>Perm Loan</v>
      </c>
      <c r="B40" s="132"/>
      <c r="C40" s="126"/>
      <c r="E40" s="128">
        <f>Application!AF627</f>
        <v>730811</v>
      </c>
      <c r="F40" s="128"/>
      <c r="G40" s="128">
        <f>$E$40</f>
        <v>730811</v>
      </c>
      <c r="H40" s="128"/>
      <c r="I40" s="128">
        <f>$E$40</f>
        <v>730811</v>
      </c>
      <c r="J40" s="128"/>
      <c r="K40" s="128">
        <f>$E$40</f>
        <v>730811</v>
      </c>
      <c r="L40" s="128"/>
      <c r="M40" s="128">
        <f>$E$40</f>
        <v>730811</v>
      </c>
      <c r="N40" s="128"/>
      <c r="O40" s="128">
        <f>$E$40</f>
        <v>730811</v>
      </c>
      <c r="P40" s="128"/>
      <c r="Q40" s="128">
        <f>$E$40</f>
        <v>730811</v>
      </c>
      <c r="R40" s="128"/>
      <c r="S40" s="128">
        <f>$E$40</f>
        <v>730811</v>
      </c>
      <c r="T40" s="128"/>
      <c r="U40" s="128">
        <f>$E$40</f>
        <v>730811</v>
      </c>
      <c r="V40" s="128"/>
      <c r="W40" s="128">
        <f>$E$40</f>
        <v>730811</v>
      </c>
      <c r="X40" s="128"/>
      <c r="Y40" s="128">
        <f>$E$40</f>
        <v>730811</v>
      </c>
      <c r="Z40" s="128"/>
      <c r="AA40" s="128">
        <f>$E$40</f>
        <v>730811</v>
      </c>
      <c r="AB40" s="128"/>
      <c r="AC40" s="128">
        <f>$E$40</f>
        <v>730811</v>
      </c>
      <c r="AD40" s="128"/>
      <c r="AE40" s="128">
        <f>$E$40</f>
        <v>730811</v>
      </c>
      <c r="AF40" s="128"/>
      <c r="AG40" s="128">
        <f>$E$40</f>
        <v>730811</v>
      </c>
    </row>
    <row r="41" spans="1:33" s="117" customFormat="1" ht="14">
      <c r="A41" s="131" t="s">
        <v>2717</v>
      </c>
      <c r="B41" s="132"/>
      <c r="C41" s="126"/>
      <c r="E41" s="128">
        <v>46200</v>
      </c>
      <c r="F41" s="128"/>
      <c r="G41" s="128">
        <f>$E$41</f>
        <v>46200</v>
      </c>
      <c r="H41" s="128"/>
      <c r="I41" s="128">
        <f>$E$41</f>
        <v>46200</v>
      </c>
      <c r="J41" s="128"/>
      <c r="K41" s="128">
        <f>$E$41</f>
        <v>46200</v>
      </c>
      <c r="L41" s="128"/>
      <c r="M41" s="128">
        <f>$E$41</f>
        <v>46200</v>
      </c>
      <c r="N41" s="128"/>
      <c r="O41" s="128">
        <f>$E$41</f>
        <v>46200</v>
      </c>
      <c r="P41" s="128"/>
      <c r="Q41" s="128">
        <f>$E$41</f>
        <v>46200</v>
      </c>
      <c r="R41" s="128"/>
      <c r="S41" s="128">
        <f>$E$41</f>
        <v>46200</v>
      </c>
      <c r="T41" s="128"/>
      <c r="U41" s="128">
        <f>$E$41</f>
        <v>46200</v>
      </c>
      <c r="V41" s="128"/>
      <c r="W41" s="128">
        <f>$E$41</f>
        <v>46200</v>
      </c>
      <c r="X41" s="128"/>
      <c r="Y41" s="128">
        <f>$E$41</f>
        <v>46200</v>
      </c>
      <c r="Z41" s="128"/>
      <c r="AA41" s="128">
        <f>$E$41</f>
        <v>46200</v>
      </c>
      <c r="AB41" s="128"/>
      <c r="AC41" s="128">
        <f>$E$41</f>
        <v>46200</v>
      </c>
      <c r="AD41" s="128"/>
      <c r="AE41" s="128">
        <f>$E$41</f>
        <v>46200</v>
      </c>
      <c r="AF41" s="128"/>
      <c r="AG41" s="128">
        <f>$E$41</f>
        <v>46200</v>
      </c>
    </row>
    <row r="42" spans="1:33" s="117" customFormat="1" ht="14">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4">
      <c r="A43" s="129" t="s">
        <v>2718</v>
      </c>
      <c r="C43" s="130"/>
      <c r="E43" s="129">
        <f>SUM(E40:E42)</f>
        <v>777011</v>
      </c>
      <c r="G43" s="129">
        <f>SUM(G40:G42)</f>
        <v>777011</v>
      </c>
      <c r="I43" s="129">
        <f>SUM(I40:I42)</f>
        <v>777011</v>
      </c>
      <c r="K43" s="129">
        <f>SUM(K40:K42)</f>
        <v>777011</v>
      </c>
      <c r="M43" s="129">
        <f>SUM(M40:M42)</f>
        <v>777011</v>
      </c>
      <c r="O43" s="129">
        <f>SUM(O40:O42)</f>
        <v>777011</v>
      </c>
      <c r="Q43" s="129">
        <f>SUM(Q40:Q42)</f>
        <v>777011</v>
      </c>
      <c r="S43" s="129">
        <f>SUM(S40:S42)</f>
        <v>777011</v>
      </c>
      <c r="U43" s="129">
        <f>SUM(U40:U42)</f>
        <v>777011</v>
      </c>
      <c r="W43" s="129">
        <f>SUM(W40:W42)</f>
        <v>777011</v>
      </c>
      <c r="Y43" s="129">
        <f>SUM(Y40:Y42)</f>
        <v>777011</v>
      </c>
      <c r="AA43" s="129">
        <f>SUM(AA40:AA42)</f>
        <v>777011</v>
      </c>
      <c r="AC43" s="129">
        <f>SUM(AC40:AC42)</f>
        <v>777011</v>
      </c>
      <c r="AE43" s="129">
        <f>SUM(AE40:AE42)</f>
        <v>777011</v>
      </c>
      <c r="AG43" s="129">
        <f>SUM(AG40:AG42)</f>
        <v>777011</v>
      </c>
    </row>
    <row r="44" spans="1:33" s="117" customFormat="1" ht="14">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4">
      <c r="A45" s="129" t="s">
        <v>2719</v>
      </c>
      <c r="C45" s="130"/>
      <c r="E45" s="129">
        <f>E37-E43</f>
        <v>117676.76000000001</v>
      </c>
      <c r="G45" s="129">
        <f>G37-G43</f>
        <v>137003.75399999972</v>
      </c>
      <c r="I45" s="129">
        <f>I37-I43</f>
        <v>156677.76585000008</v>
      </c>
      <c r="K45" s="129">
        <f>K37-K43</f>
        <v>176702.70550124976</v>
      </c>
      <c r="M45" s="129">
        <f>M37-M43</f>
        <v>197082.41386145586</v>
      </c>
      <c r="O45" s="129">
        <f>O37-O43</f>
        <v>217820.65523096081</v>
      </c>
      <c r="Q45" s="129">
        <f>Q37-Q43</f>
        <v>238921.10934550734</v>
      </c>
      <c r="S45" s="129">
        <f>S37-S43</f>
        <v>260387.36300859973</v>
      </c>
      <c r="U45" s="129">
        <f>U37-U43</f>
        <v>282222.90129579976</v>
      </c>
      <c r="W45" s="129">
        <f>W37-W43</f>
        <v>304431.09831260005</v>
      </c>
      <c r="Y45" s="129">
        <f>Y37-Y43</f>
        <v>327015.20748677384</v>
      </c>
      <c r="AA45" s="129">
        <f>AA37-AA43</f>
        <v>349978.35137537471</v>
      </c>
      <c r="AC45" s="129">
        <f>AC37-AC43</f>
        <v>373323.51096574077</v>
      </c>
      <c r="AE45" s="129">
        <f>AE37-AE43</f>
        <v>397053.51444907556</v>
      </c>
      <c r="AG45" s="129">
        <f>AG37-AG43</f>
        <v>421171.02544431528</v>
      </c>
    </row>
    <row r="46" spans="1:33" s="117" customFormat="1" ht="14">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4">
      <c r="A47" s="133" t="s">
        <v>2720</v>
      </c>
      <c r="C47" s="126"/>
      <c r="E47" s="133">
        <f>E45/(E4+E6+E8)</f>
        <v>8.4838934241382932E-2</v>
      </c>
      <c r="G47" s="133">
        <f>G45/(G4+G6+G8)</f>
        <v>9.6363619406150028E-2</v>
      </c>
      <c r="I47" s="133">
        <f>I45/(I4+I6+I8)</f>
        <v>0.10751378245232344</v>
      </c>
      <c r="K47" s="133">
        <f>K45/(K4+K6+K8)</f>
        <v>0.11829764653170674</v>
      </c>
      <c r="M47" s="133">
        <f>M45/(M4+M6+M8)</f>
        <v>0.1287232253384121</v>
      </c>
      <c r="O47" s="133">
        <f>O45/(O4+O6+O8)</f>
        <v>0.13879832813082102</v>
      </c>
      <c r="Q47" s="133">
        <f>Q45/(Q4+Q6+Q8)</f>
        <v>0.14853056463021519</v>
      </c>
      <c r="S47" s="133">
        <f>S45/(S4+S6+S8)</f>
        <v>0.15792734979907244</v>
      </c>
      <c r="U47" s="133">
        <f>U45/(U4+U6+U8)</f>
        <v>0.16699590850195564</v>
      </c>
      <c r="W47" s="133">
        <f>W45/(W4+W6+W8)</f>
        <v>0.17574328005185219</v>
      </c>
      <c r="Y47" s="133">
        <f>Y45/(Y4+Y6+Y8)</f>
        <v>0.18417632264474262</v>
      </c>
      <c r="AA47" s="133">
        <f>AA45/(AA4+AA6+AA8)</f>
        <v>0.19230171768512605</v>
      </c>
      <c r="AC47" s="133">
        <f>AC45/(AC4+AC6+AC8)</f>
        <v>0.20012597400514334</v>
      </c>
      <c r="AE47" s="133">
        <f>AE45/(AE4+AE6+AE8)</f>
        <v>0.20765543197989106</v>
      </c>
      <c r="AG47" s="133">
        <f>AG45/(AG4+AG6+AG8)</f>
        <v>0.21489626754144614</v>
      </c>
    </row>
    <row r="48" spans="1:33" s="133" customFormat="1" ht="14">
      <c r="A48" s="133" t="s">
        <v>2721</v>
      </c>
      <c r="C48" s="126"/>
      <c r="E48" s="133">
        <f>E45/E43</f>
        <v>0.15144799751869667</v>
      </c>
      <c r="G48" s="133">
        <f>G45/G43</f>
        <v>0.17632151153587236</v>
      </c>
      <c r="I48" s="133">
        <f>I45/I43</f>
        <v>0.20164163165000248</v>
      </c>
      <c r="K48" s="133">
        <f>K45/K43</f>
        <v>0.2274133899021375</v>
      </c>
      <c r="M48" s="133">
        <f>M45/M43</f>
        <v>0.25364172947545899</v>
      </c>
      <c r="O48" s="133">
        <f>O45/O43</f>
        <v>0.28033149496076737</v>
      </c>
      <c r="Q48" s="133">
        <f>Q45/Q43</f>
        <v>0.30748742211565516</v>
      </c>
      <c r="S48" s="133">
        <f>S45/S43</f>
        <v>0.33511412709549765</v>
      </c>
      <c r="U48" s="133">
        <f>U45/U43</f>
        <v>0.36321609513353065</v>
      </c>
      <c r="W48" s="133">
        <f>W45/W43</f>
        <v>0.39179766864638987</v>
      </c>
      <c r="Y48" s="133">
        <f>Y45/Y43</f>
        <v>0.42086303474052983</v>
      </c>
      <c r="AA48" s="133">
        <f>AA45/AA43</f>
        <v>0.45041621209400473</v>
      </c>
      <c r="AC48" s="133">
        <f>AC45/AC43</f>
        <v>0.48046103718704208</v>
      </c>
      <c r="AE48" s="133">
        <f>AE45/AE43</f>
        <v>0.5110011498538316</v>
      </c>
      <c r="AG48" s="133">
        <f>AG45/AG43</f>
        <v>0.54203997812684157</v>
      </c>
    </row>
    <row r="49" spans="1:34" s="134" customFormat="1" ht="14">
      <c r="A49" s="134" t="s">
        <v>2271</v>
      </c>
      <c r="C49" s="135"/>
      <c r="E49" s="134">
        <f>E37/E43</f>
        <v>1.1514479975186966</v>
      </c>
      <c r="G49" s="134">
        <f>G37/G43</f>
        <v>1.1763215115358723</v>
      </c>
      <c r="I49" s="134">
        <f>I37/I43</f>
        <v>1.2016416316500025</v>
      </c>
      <c r="K49" s="134">
        <f>K37/K43</f>
        <v>1.2274133899021376</v>
      </c>
      <c r="M49" s="134">
        <f>M37/M43</f>
        <v>1.2536417294754589</v>
      </c>
      <c r="O49" s="134">
        <f>O37/O43</f>
        <v>1.2803314949607674</v>
      </c>
      <c r="Q49" s="134">
        <f>Q37/Q43</f>
        <v>1.3074874221156552</v>
      </c>
      <c r="S49" s="134">
        <f>S37/S43</f>
        <v>1.3351141270954976</v>
      </c>
      <c r="U49" s="134">
        <f>U37/U43</f>
        <v>1.3632160951335306</v>
      </c>
      <c r="W49" s="134">
        <f>W37/W43</f>
        <v>1.39179766864639</v>
      </c>
      <c r="Y49" s="134">
        <f>Y37/Y43</f>
        <v>1.4208630347405298</v>
      </c>
      <c r="AA49" s="134">
        <f>AA37/AA43</f>
        <v>1.4504162120940047</v>
      </c>
      <c r="AC49" s="134">
        <f>AC37/AC43</f>
        <v>1.4804610371870421</v>
      </c>
      <c r="AE49" s="134">
        <f>AE37/AE43</f>
        <v>1.5110011498538316</v>
      </c>
      <c r="AG49" s="134">
        <f>AG37/AG43</f>
        <v>1.5420399781268415</v>
      </c>
    </row>
    <row r="50" spans="1:34" s="117" customFormat="1" ht="14">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2722</v>
      </c>
      <c r="C51" s="762"/>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row>
    <row r="52" spans="1:34" s="2" customFormat="1">
      <c r="A52" s="2620" t="s">
        <v>1003</v>
      </c>
      <c r="B52" s="2620"/>
      <c r="C52" s="2620"/>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row>
    <row r="53" spans="1:34" s="763" customFormat="1">
      <c r="A53" s="763" t="s">
        <v>2042</v>
      </c>
      <c r="C53" s="764">
        <v>1.0349999999999999</v>
      </c>
      <c r="E53" s="765">
        <v>10800</v>
      </c>
      <c r="G53" s="761">
        <f>E53*$C$53</f>
        <v>11178</v>
      </c>
      <c r="I53" s="761">
        <f>G53*$C$53</f>
        <v>11569.23</v>
      </c>
      <c r="K53" s="761">
        <f>I53*$C$53</f>
        <v>11974.153049999999</v>
      </c>
      <c r="M53" s="761">
        <f>K53*$C$53</f>
        <v>12393.248406749997</v>
      </c>
      <c r="O53" s="761">
        <f>M53*$C$53</f>
        <v>12827.012100986247</v>
      </c>
      <c r="Q53" s="761">
        <f>O53*$C$53</f>
        <v>13275.957524520765</v>
      </c>
      <c r="S53" s="761">
        <f>Q53*$C$53</f>
        <v>13740.616037878992</v>
      </c>
      <c r="U53" s="761">
        <f>S53*$C$53</f>
        <v>14221.537599204756</v>
      </c>
      <c r="W53" s="761">
        <f>U53*$C$53</f>
        <v>14719.291415176922</v>
      </c>
      <c r="Y53" s="761">
        <f>W53*$C$53</f>
        <v>15234.466614708113</v>
      </c>
      <c r="AA53" s="761">
        <f>Y53*$C$53</f>
        <v>15767.672946222896</v>
      </c>
      <c r="AC53" s="761">
        <f>AA53*$C$53</f>
        <v>16319.541499340696</v>
      </c>
      <c r="AE53" s="761">
        <f>AC53*$C$53</f>
        <v>16890.72545181762</v>
      </c>
      <c r="AG53" s="761">
        <f>AE53*$C$53</f>
        <v>17481.900842631236</v>
      </c>
    </row>
    <row r="54" spans="1:34" s="2" customFormat="1">
      <c r="A54" s="2" t="s">
        <v>2723</v>
      </c>
      <c r="C54" s="759"/>
      <c r="E54" s="766">
        <v>5000</v>
      </c>
      <c r="F54" s="761"/>
      <c r="G54" s="761">
        <f t="shared" ref="G54:AG57" si="1">E54*$C$53</f>
        <v>5175</v>
      </c>
      <c r="H54" s="761"/>
      <c r="I54" s="761">
        <f t="shared" si="1"/>
        <v>5356.125</v>
      </c>
      <c r="J54" s="761"/>
      <c r="K54" s="761">
        <f t="shared" si="1"/>
        <v>5543.5893749999996</v>
      </c>
      <c r="L54" s="761"/>
      <c r="M54" s="761">
        <f t="shared" si="1"/>
        <v>5737.615003124999</v>
      </c>
      <c r="N54" s="761"/>
      <c r="O54" s="761">
        <f t="shared" si="1"/>
        <v>5938.4315282343732</v>
      </c>
      <c r="P54" s="761"/>
      <c r="Q54" s="761">
        <f t="shared" si="1"/>
        <v>6146.276631722576</v>
      </c>
      <c r="R54" s="761"/>
      <c r="S54" s="761">
        <f t="shared" si="1"/>
        <v>6361.3963138328654</v>
      </c>
      <c r="T54" s="761"/>
      <c r="U54" s="761">
        <f t="shared" si="1"/>
        <v>6584.0451848170151</v>
      </c>
      <c r="V54" s="761"/>
      <c r="W54" s="761">
        <f t="shared" si="1"/>
        <v>6814.4867662856104</v>
      </c>
      <c r="X54" s="761"/>
      <c r="Y54" s="761">
        <f t="shared" si="1"/>
        <v>7052.9938031056063</v>
      </c>
      <c r="Z54" s="761"/>
      <c r="AA54" s="761">
        <f t="shared" si="1"/>
        <v>7299.8485862143016</v>
      </c>
      <c r="AB54" s="761"/>
      <c r="AC54" s="761">
        <f t="shared" si="1"/>
        <v>7555.3432867318015</v>
      </c>
      <c r="AD54" s="761"/>
      <c r="AE54" s="761">
        <f t="shared" si="1"/>
        <v>7819.7803017674141</v>
      </c>
      <c r="AF54" s="761"/>
      <c r="AG54" s="761">
        <f t="shared" si="1"/>
        <v>8093.472612329273</v>
      </c>
      <c r="AH54" s="761"/>
    </row>
    <row r="55" spans="1:34" s="2" customFormat="1">
      <c r="A55" s="2" t="s">
        <v>2724</v>
      </c>
      <c r="C55" s="759"/>
      <c r="E55" s="766"/>
      <c r="F55" s="761"/>
      <c r="G55" s="761">
        <f t="shared" si="1"/>
        <v>0</v>
      </c>
      <c r="H55" s="761"/>
      <c r="I55" s="761">
        <f t="shared" si="1"/>
        <v>0</v>
      </c>
      <c r="J55" s="761"/>
      <c r="K55" s="761">
        <f t="shared" si="1"/>
        <v>0</v>
      </c>
      <c r="L55" s="761"/>
      <c r="M55" s="761">
        <f t="shared" si="1"/>
        <v>0</v>
      </c>
      <c r="N55" s="761"/>
      <c r="O55" s="761">
        <f t="shared" si="1"/>
        <v>0</v>
      </c>
      <c r="P55" s="761"/>
      <c r="Q55" s="761">
        <f t="shared" si="1"/>
        <v>0</v>
      </c>
      <c r="R55" s="761"/>
      <c r="S55" s="761">
        <f t="shared" si="1"/>
        <v>0</v>
      </c>
      <c r="T55" s="761"/>
      <c r="U55" s="761">
        <f t="shared" si="1"/>
        <v>0</v>
      </c>
      <c r="V55" s="761"/>
      <c r="W55" s="761">
        <f t="shared" si="1"/>
        <v>0</v>
      </c>
      <c r="X55" s="761"/>
      <c r="Y55" s="761">
        <f t="shared" si="1"/>
        <v>0</v>
      </c>
      <c r="Z55" s="761"/>
      <c r="AA55" s="761">
        <f t="shared" si="1"/>
        <v>0</v>
      </c>
      <c r="AB55" s="761"/>
      <c r="AC55" s="761">
        <f t="shared" si="1"/>
        <v>0</v>
      </c>
      <c r="AD55" s="761"/>
      <c r="AE55" s="761">
        <f t="shared" si="1"/>
        <v>0</v>
      </c>
      <c r="AF55" s="761"/>
      <c r="AG55" s="761">
        <f t="shared" si="1"/>
        <v>0</v>
      </c>
      <c r="AH55" s="761"/>
    </row>
    <row r="56" spans="1:34" s="2" customFormat="1">
      <c r="A56" s="767"/>
      <c r="B56" s="767"/>
      <c r="C56" s="759"/>
      <c r="E56" s="766"/>
      <c r="F56" s="761"/>
      <c r="G56" s="761">
        <f t="shared" si="1"/>
        <v>0</v>
      </c>
      <c r="H56" s="761"/>
      <c r="I56" s="761">
        <f t="shared" si="1"/>
        <v>0</v>
      </c>
      <c r="J56" s="761"/>
      <c r="K56" s="761">
        <f t="shared" si="1"/>
        <v>0</v>
      </c>
      <c r="L56" s="761"/>
      <c r="M56" s="761">
        <f t="shared" si="1"/>
        <v>0</v>
      </c>
      <c r="N56" s="761"/>
      <c r="O56" s="761">
        <f t="shared" si="1"/>
        <v>0</v>
      </c>
      <c r="P56" s="761"/>
      <c r="Q56" s="761">
        <f t="shared" si="1"/>
        <v>0</v>
      </c>
      <c r="R56" s="761"/>
      <c r="S56" s="761">
        <f t="shared" si="1"/>
        <v>0</v>
      </c>
      <c r="T56" s="761"/>
      <c r="U56" s="761">
        <f t="shared" si="1"/>
        <v>0</v>
      </c>
      <c r="V56" s="761"/>
      <c r="W56" s="761">
        <f t="shared" si="1"/>
        <v>0</v>
      </c>
      <c r="X56" s="761"/>
      <c r="Y56" s="761">
        <f t="shared" si="1"/>
        <v>0</v>
      </c>
      <c r="Z56" s="761"/>
      <c r="AA56" s="761">
        <f t="shared" si="1"/>
        <v>0</v>
      </c>
      <c r="AB56" s="761"/>
      <c r="AC56" s="761">
        <f t="shared" si="1"/>
        <v>0</v>
      </c>
      <c r="AD56" s="761"/>
      <c r="AE56" s="761">
        <f t="shared" si="1"/>
        <v>0</v>
      </c>
      <c r="AF56" s="761"/>
      <c r="AG56" s="761">
        <f t="shared" si="1"/>
        <v>0</v>
      </c>
      <c r="AH56" s="761"/>
    </row>
    <row r="57" spans="1:34" s="2" customFormat="1">
      <c r="A57" s="767"/>
      <c r="B57" s="767"/>
      <c r="C57" s="759"/>
      <c r="E57" s="768"/>
      <c r="F57" s="761"/>
      <c r="G57" s="769">
        <f t="shared" si="1"/>
        <v>0</v>
      </c>
      <c r="H57" s="761"/>
      <c r="I57" s="769">
        <f t="shared" si="1"/>
        <v>0</v>
      </c>
      <c r="J57" s="761"/>
      <c r="K57" s="769">
        <f t="shared" si="1"/>
        <v>0</v>
      </c>
      <c r="L57" s="761"/>
      <c r="M57" s="769">
        <f t="shared" si="1"/>
        <v>0</v>
      </c>
      <c r="N57" s="761"/>
      <c r="O57" s="769">
        <f t="shared" si="1"/>
        <v>0</v>
      </c>
      <c r="P57" s="761"/>
      <c r="Q57" s="769">
        <f t="shared" si="1"/>
        <v>0</v>
      </c>
      <c r="R57" s="761"/>
      <c r="S57" s="769">
        <f t="shared" si="1"/>
        <v>0</v>
      </c>
      <c r="T57" s="761"/>
      <c r="U57" s="769">
        <f t="shared" si="1"/>
        <v>0</v>
      </c>
      <c r="V57" s="761"/>
      <c r="W57" s="769">
        <f t="shared" si="1"/>
        <v>0</v>
      </c>
      <c r="X57" s="761"/>
      <c r="Y57" s="769">
        <f t="shared" si="1"/>
        <v>0</v>
      </c>
      <c r="Z57" s="761"/>
      <c r="AA57" s="769">
        <f t="shared" si="1"/>
        <v>0</v>
      </c>
      <c r="AB57" s="761"/>
      <c r="AC57" s="769">
        <f t="shared" si="1"/>
        <v>0</v>
      </c>
      <c r="AD57" s="761"/>
      <c r="AE57" s="769">
        <f t="shared" si="1"/>
        <v>0</v>
      </c>
      <c r="AF57" s="761"/>
      <c r="AG57" s="769">
        <f t="shared" si="1"/>
        <v>0</v>
      </c>
      <c r="AH57" s="761"/>
    </row>
    <row r="58" spans="1:34" s="2" customFormat="1">
      <c r="A58" s="763" t="s">
        <v>2725</v>
      </c>
      <c r="C58" s="762"/>
      <c r="E58" s="761">
        <f>SUM(E53:E57)</f>
        <v>15800</v>
      </c>
      <c r="F58" s="761"/>
      <c r="G58" s="761">
        <f>SUM(G53:G57)</f>
        <v>16353</v>
      </c>
      <c r="H58" s="761"/>
      <c r="I58" s="761">
        <f>SUM(I53:I57)</f>
        <v>16925.355</v>
      </c>
      <c r="J58" s="761"/>
      <c r="K58" s="761">
        <f>SUM(K53:K57)</f>
        <v>17517.742424999997</v>
      </c>
      <c r="L58" s="761"/>
      <c r="M58" s="761">
        <f>SUM(M53:M57)</f>
        <v>18130.863409874997</v>
      </c>
      <c r="N58" s="761"/>
      <c r="O58" s="761">
        <f>SUM(O53:O57)</f>
        <v>18765.443629220619</v>
      </c>
      <c r="P58" s="761"/>
      <c r="Q58" s="761">
        <f>SUM(Q53:Q57)</f>
        <v>19422.234156243343</v>
      </c>
      <c r="R58" s="761"/>
      <c r="S58" s="761">
        <f>SUM(S53:S57)</f>
        <v>20102.012351711855</v>
      </c>
      <c r="T58" s="761"/>
      <c r="U58" s="761">
        <f>SUM(U53:U57)</f>
        <v>20805.582784021772</v>
      </c>
      <c r="V58" s="761"/>
      <c r="W58" s="761">
        <f>SUM(W53:W57)</f>
        <v>21533.778181462534</v>
      </c>
      <c r="X58" s="761"/>
      <c r="Y58" s="761">
        <f>SUM(Y53:Y57)</f>
        <v>22287.46041781372</v>
      </c>
      <c r="Z58" s="761"/>
      <c r="AA58" s="761">
        <f>SUM(AA53:AA57)</f>
        <v>23067.521532437197</v>
      </c>
      <c r="AB58" s="761"/>
      <c r="AC58" s="761">
        <f>SUM(AC53:AC57)</f>
        <v>23874.884786072496</v>
      </c>
      <c r="AD58" s="761"/>
      <c r="AE58" s="761">
        <f>SUM(AE53:AE57)</f>
        <v>24710.505753585036</v>
      </c>
      <c r="AF58" s="761"/>
      <c r="AG58" s="761">
        <f>SUM(AG53:AG57)</f>
        <v>25575.373454960507</v>
      </c>
      <c r="AH58" s="761"/>
    </row>
    <row r="59" spans="1:34" s="2" customFormat="1" ht="12.75" customHeight="1">
      <c r="A59" s="763"/>
      <c r="C59" s="762"/>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row>
    <row r="60" spans="1:34" s="763" customFormat="1">
      <c r="A60" s="763" t="s">
        <v>2726</v>
      </c>
      <c r="C60" s="770"/>
      <c r="E60" s="763">
        <f>E45-E58</f>
        <v>101876.76000000001</v>
      </c>
      <c r="G60" s="763">
        <f>G45-G58</f>
        <v>120650.75399999972</v>
      </c>
      <c r="I60" s="763">
        <f>I45-I58</f>
        <v>139752.41085000007</v>
      </c>
      <c r="K60" s="763">
        <f>K45-K58</f>
        <v>159184.96307624975</v>
      </c>
      <c r="M60" s="763">
        <f>M45-M58</f>
        <v>178951.55045158087</v>
      </c>
      <c r="O60" s="763">
        <f>O45-O58</f>
        <v>199055.21160174019</v>
      </c>
      <c r="Q60" s="763">
        <f>Q45-Q58</f>
        <v>219498.87518926401</v>
      </c>
      <c r="S60" s="763">
        <f>S45-S58</f>
        <v>240285.35065688787</v>
      </c>
      <c r="U60" s="763">
        <f>U45-U58</f>
        <v>261417.31851177799</v>
      </c>
      <c r="W60" s="763">
        <f>W45-W58</f>
        <v>282897.3201311375</v>
      </c>
      <c r="Y60" s="763">
        <f>Y45-Y58</f>
        <v>304727.7470689601</v>
      </c>
      <c r="AA60" s="763">
        <f>AA45-AA58</f>
        <v>326910.82984293753</v>
      </c>
      <c r="AC60" s="763">
        <f>AC45-AC58</f>
        <v>349448.6261796683</v>
      </c>
      <c r="AE60" s="763">
        <f>AE45-AE58</f>
        <v>372343.00869549054</v>
      </c>
      <c r="AG60" s="763">
        <f>AG45-AG58</f>
        <v>395595.65198935475</v>
      </c>
    </row>
    <row r="61" spans="1:34" s="2" customFormat="1" ht="8.25" customHeight="1">
      <c r="C61" s="762"/>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row>
    <row r="62" spans="1:34" s="763" customFormat="1">
      <c r="A62" s="763" t="s">
        <v>2727</v>
      </c>
      <c r="C62" s="760">
        <v>1</v>
      </c>
      <c r="E62" s="765">
        <f>E60*$C$62</f>
        <v>101876.76000000001</v>
      </c>
      <c r="G62" s="763">
        <f>G60*$C$62</f>
        <v>120650.75399999972</v>
      </c>
      <c r="I62" s="763">
        <f>I60*$C$62</f>
        <v>139752.41085000007</v>
      </c>
      <c r="K62" s="763">
        <f>K60*$C$62</f>
        <v>159184.96307624975</v>
      </c>
      <c r="M62" s="763">
        <f>M60*$C$62</f>
        <v>178951.55045158087</v>
      </c>
      <c r="O62" s="763">
        <f>O60*$C$62</f>
        <v>199055.21160174019</v>
      </c>
      <c r="Q62" s="763">
        <f>Q60*$C$62</f>
        <v>219498.87518926401</v>
      </c>
      <c r="S62" s="763">
        <f>S60*$C$62</f>
        <v>240285.35065688787</v>
      </c>
      <c r="U62" s="763">
        <f>U60*$C$62</f>
        <v>261417.31851177799</v>
      </c>
      <c r="W62" s="763">
        <f>W60*$C$62</f>
        <v>282897.3201311375</v>
      </c>
      <c r="Y62" s="763">
        <f>Y60*$C$62</f>
        <v>304727.7470689601</v>
      </c>
      <c r="AA62" s="763">
        <f>AA60*$C$62</f>
        <v>326910.82984293753</v>
      </c>
      <c r="AC62" s="763">
        <f>AC60*$C$62</f>
        <v>349448.6261796683</v>
      </c>
      <c r="AE62" s="763">
        <f>AE60*$C$62</f>
        <v>372343.00869549054</v>
      </c>
      <c r="AG62" s="763">
        <v>0</v>
      </c>
    </row>
    <row r="63" spans="1:34" s="763" customFormat="1">
      <c r="A63" s="2620" t="s">
        <v>1003</v>
      </c>
      <c r="B63" s="2620"/>
      <c r="C63" s="2620"/>
    </row>
    <row r="64" spans="1:34" s="2" customFormat="1" ht="8.25" customHeight="1">
      <c r="C64" s="762"/>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row>
    <row r="65" spans="1:34" s="2" customFormat="1">
      <c r="A65" s="2" t="s">
        <v>2728</v>
      </c>
      <c r="C65" s="760">
        <v>0</v>
      </c>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row>
    <row r="66" spans="1:34" s="763" customFormat="1">
      <c r="A66" s="765"/>
      <c r="B66" s="765"/>
      <c r="C66" s="764"/>
      <c r="E66" s="765">
        <f>$E60*$C$65</f>
        <v>0</v>
      </c>
      <c r="G66" s="761">
        <f>G60*$C$65</f>
        <v>0</v>
      </c>
      <c r="I66" s="761">
        <f>I60*$C$65</f>
        <v>0</v>
      </c>
      <c r="K66" s="761">
        <f>K60*$C$65</f>
        <v>0</v>
      </c>
      <c r="M66" s="761">
        <f>M60*$C$65</f>
        <v>0</v>
      </c>
      <c r="O66" s="761">
        <f>O60*$C$65</f>
        <v>0</v>
      </c>
      <c r="Q66" s="761">
        <f>Q60*$C$65</f>
        <v>0</v>
      </c>
      <c r="S66" s="761">
        <f>S60*$C$65</f>
        <v>0</v>
      </c>
      <c r="U66" s="761">
        <f>U60*$C$65</f>
        <v>0</v>
      </c>
      <c r="W66" s="761">
        <f>W60*$C$65</f>
        <v>0</v>
      </c>
      <c r="Y66" s="761">
        <f>Y60*$C$65</f>
        <v>0</v>
      </c>
      <c r="AA66" s="761">
        <f>AA60*$C$65</f>
        <v>0</v>
      </c>
      <c r="AC66" s="761">
        <f>AC60*$C$65</f>
        <v>0</v>
      </c>
      <c r="AE66" s="761">
        <f>AE60*$C$65</f>
        <v>0</v>
      </c>
      <c r="AG66" s="761">
        <f>AG60*$C$65</f>
        <v>0</v>
      </c>
    </row>
    <row r="67" spans="1:34" s="761" customFormat="1">
      <c r="A67" s="766"/>
      <c r="B67" s="766"/>
      <c r="C67" s="771"/>
      <c r="E67" s="765">
        <f>$E60*$C$65</f>
        <v>0</v>
      </c>
      <c r="G67" s="761">
        <f>G60*$C$65</f>
        <v>0</v>
      </c>
      <c r="I67" s="761">
        <f>I60*$C$65</f>
        <v>0</v>
      </c>
      <c r="K67" s="761">
        <f>K60*$C$65</f>
        <v>0</v>
      </c>
      <c r="M67" s="761">
        <f>M60*$C$65</f>
        <v>0</v>
      </c>
      <c r="O67" s="761">
        <f>O60*$C$65</f>
        <v>0</v>
      </c>
      <c r="Q67" s="761">
        <f>Q60*$C$65</f>
        <v>0</v>
      </c>
      <c r="S67" s="761">
        <f>S60*$C$65</f>
        <v>0</v>
      </c>
      <c r="U67" s="761">
        <f>U60*$C$65</f>
        <v>0</v>
      </c>
      <c r="W67" s="761">
        <f>W60*$C$65</f>
        <v>0</v>
      </c>
      <c r="Y67" s="761">
        <f>Y60*$C$65</f>
        <v>0</v>
      </c>
      <c r="AA67" s="761">
        <f>AA60*$C$65</f>
        <v>0</v>
      </c>
      <c r="AC67" s="761">
        <f>AC60*$C$65</f>
        <v>0</v>
      </c>
      <c r="AE67" s="761">
        <f>AE60*$C$65</f>
        <v>0</v>
      </c>
      <c r="AG67" s="761">
        <f>AG60*$C$65</f>
        <v>0</v>
      </c>
    </row>
    <row r="68" spans="1:34" s="761" customFormat="1">
      <c r="A68" s="766"/>
      <c r="B68" s="766"/>
      <c r="C68" s="771"/>
      <c r="E68" s="766"/>
      <c r="G68" s="761">
        <f t="shared" ref="G68:AG69" si="2">E68*$C$66</f>
        <v>0</v>
      </c>
      <c r="I68" s="761">
        <f t="shared" si="2"/>
        <v>0</v>
      </c>
      <c r="K68" s="761">
        <f t="shared" si="2"/>
        <v>0</v>
      </c>
      <c r="M68" s="761">
        <f t="shared" si="2"/>
        <v>0</v>
      </c>
      <c r="O68" s="761">
        <f t="shared" si="2"/>
        <v>0</v>
      </c>
      <c r="Q68" s="761">
        <f t="shared" si="2"/>
        <v>0</v>
      </c>
      <c r="S68" s="761">
        <f t="shared" si="2"/>
        <v>0</v>
      </c>
      <c r="U68" s="761">
        <f t="shared" si="2"/>
        <v>0</v>
      </c>
      <c r="W68" s="761">
        <f t="shared" si="2"/>
        <v>0</v>
      </c>
      <c r="Y68" s="761">
        <f t="shared" si="2"/>
        <v>0</v>
      </c>
      <c r="AA68" s="761">
        <f t="shared" si="2"/>
        <v>0</v>
      </c>
      <c r="AC68" s="761">
        <f t="shared" si="2"/>
        <v>0</v>
      </c>
      <c r="AE68" s="761">
        <f t="shared" si="2"/>
        <v>0</v>
      </c>
      <c r="AG68" s="761">
        <f t="shared" si="2"/>
        <v>0</v>
      </c>
    </row>
    <row r="69" spans="1:34" s="761" customFormat="1">
      <c r="A69" s="766"/>
      <c r="B69" s="766"/>
      <c r="C69" s="771"/>
      <c r="E69" s="768"/>
      <c r="G69" s="769">
        <f t="shared" si="2"/>
        <v>0</v>
      </c>
      <c r="I69" s="769">
        <f t="shared" si="2"/>
        <v>0</v>
      </c>
      <c r="K69" s="769">
        <f t="shared" si="2"/>
        <v>0</v>
      </c>
      <c r="M69" s="769">
        <f t="shared" si="2"/>
        <v>0</v>
      </c>
      <c r="O69" s="769">
        <f t="shared" si="2"/>
        <v>0</v>
      </c>
      <c r="Q69" s="769">
        <f t="shared" si="2"/>
        <v>0</v>
      </c>
      <c r="S69" s="769">
        <f t="shared" si="2"/>
        <v>0</v>
      </c>
      <c r="U69" s="769">
        <f t="shared" si="2"/>
        <v>0</v>
      </c>
      <c r="W69" s="769">
        <f t="shared" si="2"/>
        <v>0</v>
      </c>
      <c r="Y69" s="769">
        <f t="shared" si="2"/>
        <v>0</v>
      </c>
      <c r="AA69" s="769">
        <f t="shared" si="2"/>
        <v>0</v>
      </c>
      <c r="AC69" s="769">
        <f t="shared" si="2"/>
        <v>0</v>
      </c>
      <c r="AE69" s="769">
        <f t="shared" si="2"/>
        <v>0</v>
      </c>
      <c r="AG69" s="769">
        <f t="shared" si="2"/>
        <v>0</v>
      </c>
    </row>
    <row r="70" spans="1:34" s="761" customFormat="1">
      <c r="A70" s="763" t="s">
        <v>2725</v>
      </c>
      <c r="C70" s="771"/>
      <c r="E70" s="761">
        <f>SUM(E66:E69)</f>
        <v>0</v>
      </c>
      <c r="G70" s="761">
        <f>SUM(G66:G69)</f>
        <v>0</v>
      </c>
      <c r="I70" s="761">
        <f>SUM(I66:I69)</f>
        <v>0</v>
      </c>
      <c r="K70" s="761">
        <f>SUM(K66:K69)</f>
        <v>0</v>
      </c>
      <c r="M70" s="761">
        <f>SUM(M66:M69)</f>
        <v>0</v>
      </c>
      <c r="O70" s="761">
        <f>SUM(O66:O69)</f>
        <v>0</v>
      </c>
      <c r="Q70" s="761">
        <f>SUM(Q66:Q69)</f>
        <v>0</v>
      </c>
      <c r="S70" s="761">
        <f>SUM(S66:S69)</f>
        <v>0</v>
      </c>
      <c r="U70" s="761">
        <f>SUM(U66:U69)</f>
        <v>0</v>
      </c>
      <c r="W70" s="761">
        <f>SUM(W66:W69)</f>
        <v>0</v>
      </c>
      <c r="Y70" s="761">
        <f>SUM(Y66:Y69)</f>
        <v>0</v>
      </c>
      <c r="AA70" s="761">
        <f>SUM(AA66:AA69)</f>
        <v>0</v>
      </c>
      <c r="AC70" s="761">
        <f>SUM(AC66:AC69)</f>
        <v>0</v>
      </c>
      <c r="AE70" s="761">
        <f>SUM(AE66:AE69)</f>
        <v>0</v>
      </c>
      <c r="AG70" s="761">
        <f>SUM(AG66:AG69)</f>
        <v>0</v>
      </c>
    </row>
    <row r="71" spans="1:34" s="761" customFormat="1">
      <c r="A71" s="763"/>
      <c r="C71" s="771"/>
    </row>
    <row r="72" spans="1:34" s="761" customFormat="1">
      <c r="A72" s="763" t="s">
        <v>2729</v>
      </c>
      <c r="C72" s="771"/>
      <c r="E72" s="763">
        <f>E60-E62-E70</f>
        <v>0</v>
      </c>
      <c r="G72" s="763">
        <f>G60-G62-G70</f>
        <v>0</v>
      </c>
      <c r="I72" s="763">
        <f>I60-I62-I70</f>
        <v>0</v>
      </c>
      <c r="K72" s="763">
        <f>K60-K62-K70</f>
        <v>0</v>
      </c>
      <c r="M72" s="763">
        <f>M60-M62-M70</f>
        <v>0</v>
      </c>
      <c r="O72" s="763">
        <f>O60-O62-O70</f>
        <v>0</v>
      </c>
      <c r="Q72" s="763">
        <f>Q60-Q62-Q70</f>
        <v>0</v>
      </c>
      <c r="S72" s="763">
        <f>S60-S62-S70</f>
        <v>0</v>
      </c>
      <c r="U72" s="763">
        <f>U60-U62-U70</f>
        <v>0</v>
      </c>
      <c r="W72" s="763">
        <f>W60-W62-W70</f>
        <v>0</v>
      </c>
      <c r="Y72" s="763">
        <f>Y60-Y62-Y70</f>
        <v>0</v>
      </c>
      <c r="AA72" s="763">
        <f>AA60-AA62-AA70</f>
        <v>0</v>
      </c>
      <c r="AC72" s="763">
        <f>AC60-AC62-AC70</f>
        <v>0</v>
      </c>
      <c r="AE72" s="763">
        <f>AE60-AE62-AE70</f>
        <v>0</v>
      </c>
      <c r="AG72" s="763">
        <f>AG60-AG62-AG70</f>
        <v>395595.65198935475</v>
      </c>
    </row>
    <row r="73" spans="1:34" s="761" customFormat="1" ht="13">
      <c r="A73" s="378"/>
      <c r="C73" s="771"/>
    </row>
    <row r="74" spans="1:34" s="123" customFormat="1" ht="13">
      <c r="A74" s="378"/>
      <c r="B74" s="761"/>
      <c r="C74" s="77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row>
    <row r="75" spans="1:34" s="123" customFormat="1">
      <c r="A75" s="761" t="s">
        <v>2730</v>
      </c>
      <c r="B75" s="761"/>
      <c r="C75" s="77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row>
    <row r="76" spans="1:34" s="123" customFormat="1">
      <c r="A76" s="761"/>
      <c r="B76" s="761"/>
      <c r="C76" s="771"/>
      <c r="D76" s="761"/>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row>
    <row r="77" spans="1:34" s="139" customFormat="1" ht="30" customHeight="1">
      <c r="A77" s="2619" t="s">
        <v>2731</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10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194" t="s">
        <v>2732</v>
      </c>
    </row>
    <row r="2" spans="1:1" ht="15.5">
      <c r="A2" s="195"/>
    </row>
    <row r="3" spans="1:1" ht="15.5">
      <c r="A3" s="196" t="s">
        <v>2733</v>
      </c>
    </row>
    <row r="4" spans="1:1" ht="15.5">
      <c r="A4" s="196" t="s">
        <v>2734</v>
      </c>
    </row>
    <row r="5" spans="1:1" ht="15.5">
      <c r="A5" s="196" t="s">
        <v>2735</v>
      </c>
    </row>
    <row r="6" spans="1:1" ht="15.5">
      <c r="A6" s="196" t="s">
        <v>2736</v>
      </c>
    </row>
    <row r="7" spans="1:1" ht="15.5">
      <c r="A7" s="196" t="s">
        <v>2737</v>
      </c>
    </row>
    <row r="8" spans="1:1" ht="15.5">
      <c r="A8" s="220" t="s">
        <v>2738</v>
      </c>
    </row>
    <row r="9" spans="1:1" ht="15.5">
      <c r="A9" s="196" t="s">
        <v>2739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13" customWidth="1"/>
    <col min="2" max="4" width="14.7265625" style="113" customWidth="1"/>
    <col min="5" max="5" width="50.7265625" style="113" customWidth="1"/>
    <col min="6" max="253" width="9.1796875" style="113" customWidth="1"/>
    <col min="254" max="16384" width="9.1796875" style="113"/>
  </cols>
  <sheetData>
    <row r="1" spans="1:6" s="162" customFormat="1" ht="18" customHeight="1">
      <c r="A1" s="364" t="s">
        <v>2740</v>
      </c>
      <c r="D1" s="167"/>
    </row>
    <row r="2" spans="1:6" s="162" customFormat="1" ht="13">
      <c r="A2" s="146" t="s">
        <v>2741</v>
      </c>
      <c r="B2" s="148"/>
      <c r="C2" s="148"/>
      <c r="D2" s="145"/>
      <c r="E2" s="149"/>
      <c r="F2" s="148"/>
    </row>
    <row r="3" spans="1:6" s="225" customFormat="1" ht="80.25" customHeight="1">
      <c r="A3" s="164"/>
      <c r="B3" s="150" t="s">
        <v>2742</v>
      </c>
      <c r="C3" s="150" t="s">
        <v>2743</v>
      </c>
      <c r="D3" s="150" t="s">
        <v>2744</v>
      </c>
      <c r="E3" s="147" t="s">
        <v>2745</v>
      </c>
      <c r="F3" s="147"/>
    </row>
    <row r="4" spans="1:6" s="226" customFormat="1" ht="13">
      <c r="A4" s="151" t="s">
        <v>1755</v>
      </c>
      <c r="B4" s="151"/>
      <c r="C4" s="151"/>
      <c r="D4" s="151"/>
      <c r="E4" s="169"/>
      <c r="F4" s="151"/>
    </row>
    <row r="5" spans="1:6" s="226" customFormat="1">
      <c r="A5" s="237" t="s">
        <v>1756</v>
      </c>
      <c r="B5" s="153">
        <f>'Sources and Uses Budget'!$C4</f>
        <v>1440000</v>
      </c>
      <c r="C5" s="153">
        <f>'Sources and Uses Budget'!$C4</f>
        <v>1440000</v>
      </c>
      <c r="D5" s="157">
        <f>C5-B5</f>
        <v>0</v>
      </c>
      <c r="E5" s="155"/>
      <c r="F5" s="154"/>
    </row>
    <row r="6" spans="1:6" s="226" customFormat="1">
      <c r="A6" s="237" t="s">
        <v>690</v>
      </c>
      <c r="B6" s="153">
        <f>'Sources and Uses Budget'!$C5</f>
        <v>0</v>
      </c>
      <c r="C6" s="153">
        <f>'Sources and Uses Budget'!$C5</f>
        <v>0</v>
      </c>
      <c r="D6" s="157">
        <f t="shared" ref="D6:D77" si="0">C6-B6</f>
        <v>0</v>
      </c>
      <c r="E6" s="155"/>
      <c r="F6" s="154"/>
    </row>
    <row r="7" spans="1:6" s="226" customFormat="1">
      <c r="A7" s="237" t="s">
        <v>1757</v>
      </c>
      <c r="B7" s="153">
        <f>'Sources and Uses Budget'!$C6</f>
        <v>0</v>
      </c>
      <c r="C7" s="153">
        <f>'Sources and Uses Budget'!$C6</f>
        <v>0</v>
      </c>
      <c r="D7" s="157">
        <f t="shared" si="0"/>
        <v>0</v>
      </c>
      <c r="E7" s="155"/>
      <c r="F7" s="154"/>
    </row>
    <row r="8" spans="1:6" s="226" customFormat="1">
      <c r="A8" s="237" t="s">
        <v>1758</v>
      </c>
      <c r="B8" s="153">
        <f>'Sources and Uses Budget'!$C7</f>
        <v>0</v>
      </c>
      <c r="C8" s="153">
        <f>'Sources and Uses Budget'!$C7</f>
        <v>0</v>
      </c>
      <c r="D8" s="157">
        <f t="shared" si="0"/>
        <v>0</v>
      </c>
      <c r="E8" s="155"/>
      <c r="F8" s="154"/>
    </row>
    <row r="9" spans="1:6" s="226" customFormat="1">
      <c r="A9" s="238" t="s">
        <v>1759</v>
      </c>
      <c r="B9" s="157">
        <f>SUM(B5:B8)</f>
        <v>1440000</v>
      </c>
      <c r="C9" s="157">
        <f>SUM(C5:C8)</f>
        <v>1440000</v>
      </c>
      <c r="D9" s="157">
        <f t="shared" si="0"/>
        <v>0</v>
      </c>
      <c r="E9" s="155"/>
      <c r="F9" s="154"/>
    </row>
    <row r="10" spans="1:6" s="226" customFormat="1">
      <c r="A10" s="237" t="s">
        <v>1760</v>
      </c>
      <c r="B10" s="153">
        <f>'Sources and Uses Budget'!$C9</f>
        <v>0</v>
      </c>
      <c r="C10" s="153">
        <f>'Sources and Uses Budget'!$C9</f>
        <v>0</v>
      </c>
      <c r="D10" s="157">
        <f t="shared" si="0"/>
        <v>0</v>
      </c>
      <c r="E10" s="155"/>
      <c r="F10" s="154"/>
    </row>
    <row r="11" spans="1:6" s="226" customFormat="1">
      <c r="A11" s="237" t="s">
        <v>1761</v>
      </c>
      <c r="B11" s="153">
        <f>'Sources and Uses Budget'!$C10</f>
        <v>500000</v>
      </c>
      <c r="C11" s="153">
        <f>'Sources and Uses Budget'!$C10</f>
        <v>500000</v>
      </c>
      <c r="D11" s="157">
        <f t="shared" si="0"/>
        <v>0</v>
      </c>
      <c r="E11" s="155"/>
      <c r="F11" s="154"/>
    </row>
    <row r="12" spans="1:6" s="226" customFormat="1">
      <c r="A12" s="238" t="s">
        <v>1762</v>
      </c>
      <c r="B12" s="157">
        <f>SUM(B10:B11)</f>
        <v>500000</v>
      </c>
      <c r="C12" s="157">
        <f>SUM(C10:C11)</f>
        <v>500000</v>
      </c>
      <c r="D12" s="157">
        <f t="shared" si="0"/>
        <v>0</v>
      </c>
      <c r="E12" s="155"/>
      <c r="F12" s="154"/>
    </row>
    <row r="13" spans="1:6" s="226" customFormat="1">
      <c r="A13" s="238" t="s">
        <v>1763</v>
      </c>
      <c r="B13" s="157">
        <f>SUM(B9+B12)</f>
        <v>1940000</v>
      </c>
      <c r="C13" s="157">
        <f>SUM(C9+C12)</f>
        <v>1940000</v>
      </c>
      <c r="D13" s="157">
        <f t="shared" si="0"/>
        <v>0</v>
      </c>
      <c r="E13" s="155"/>
      <c r="F13" s="154"/>
    </row>
    <row r="14" spans="1:6" s="226" customFormat="1">
      <c r="A14" s="239" t="s">
        <v>1764</v>
      </c>
      <c r="B14" s="153">
        <f>'Sources and Uses Budget'!$C13</f>
        <v>0</v>
      </c>
      <c r="C14" s="153">
        <f>'Sources and Uses Budget'!$C13</f>
        <v>0</v>
      </c>
      <c r="D14" s="157">
        <f t="shared" si="0"/>
        <v>0</v>
      </c>
      <c r="E14" s="155"/>
      <c r="F14" s="154"/>
    </row>
    <row r="15" spans="1:6" s="226" customFormat="1" ht="23">
      <c r="A15" s="237" t="s">
        <v>1882</v>
      </c>
      <c r="B15" s="153">
        <f>'Sources and Uses Budget'!$C14</f>
        <v>0</v>
      </c>
      <c r="C15" s="153">
        <f>'Sources and Uses Budget'!$C14</f>
        <v>0</v>
      </c>
      <c r="D15" s="157">
        <f t="shared" si="0"/>
        <v>0</v>
      </c>
      <c r="E15" s="155"/>
      <c r="F15" s="154"/>
    </row>
    <row r="16" spans="1:6" s="226" customFormat="1">
      <c r="A16" s="237" t="s">
        <v>1766</v>
      </c>
      <c r="B16" s="153">
        <f>'Sources and Uses Budget'!$C15</f>
        <v>0</v>
      </c>
      <c r="C16" s="153">
        <f>'Sources and Uses Budget'!$C15</f>
        <v>0</v>
      </c>
      <c r="D16" s="157">
        <f t="shared" si="0"/>
        <v>0</v>
      </c>
      <c r="E16" s="155"/>
      <c r="F16" s="154"/>
    </row>
    <row r="17" spans="1:6" s="226" customFormat="1" ht="13">
      <c r="A17" s="151" t="s">
        <v>1767</v>
      </c>
      <c r="B17" s="151"/>
      <c r="C17" s="151"/>
      <c r="D17" s="151"/>
      <c r="E17" s="169"/>
      <c r="F17" s="151"/>
    </row>
    <row r="18" spans="1:6" s="226" customFormat="1">
      <c r="A18" s="170" t="s">
        <v>1768</v>
      </c>
      <c r="B18" s="153">
        <f>'Sources and Uses Budget'!$C17</f>
        <v>0</v>
      </c>
      <c r="C18" s="153">
        <f>'Sources and Uses Budget'!$C17</f>
        <v>0</v>
      </c>
      <c r="D18" s="157">
        <f t="shared" si="0"/>
        <v>0</v>
      </c>
      <c r="E18" s="155"/>
      <c r="F18" s="154"/>
    </row>
    <row r="19" spans="1:6" s="226" customFormat="1">
      <c r="A19" s="170" t="s">
        <v>1769</v>
      </c>
      <c r="B19" s="153">
        <f>'Sources and Uses Budget'!$C18</f>
        <v>0</v>
      </c>
      <c r="C19" s="153">
        <f>'Sources and Uses Budget'!$C18</f>
        <v>0</v>
      </c>
      <c r="D19" s="157">
        <f t="shared" si="0"/>
        <v>0</v>
      </c>
      <c r="E19" s="155"/>
      <c r="F19" s="154"/>
    </row>
    <row r="20" spans="1:6" s="226" customFormat="1">
      <c r="A20" s="170" t="s">
        <v>1770</v>
      </c>
      <c r="B20" s="153">
        <f>'Sources and Uses Budget'!$C19</f>
        <v>0</v>
      </c>
      <c r="C20" s="153">
        <f>'Sources and Uses Budget'!$C19</f>
        <v>0</v>
      </c>
      <c r="D20" s="157">
        <f t="shared" si="0"/>
        <v>0</v>
      </c>
      <c r="E20" s="155"/>
      <c r="F20" s="154"/>
    </row>
    <row r="21" spans="1:6" s="226" customFormat="1">
      <c r="A21" s="170" t="s">
        <v>1771</v>
      </c>
      <c r="B21" s="153">
        <f>'Sources and Uses Budget'!$C20</f>
        <v>0</v>
      </c>
      <c r="C21" s="153">
        <f>'Sources and Uses Budget'!$C20</f>
        <v>0</v>
      </c>
      <c r="D21" s="157">
        <f t="shared" si="0"/>
        <v>0</v>
      </c>
      <c r="E21" s="155"/>
      <c r="F21" s="154"/>
    </row>
    <row r="22" spans="1:6" s="226" customFormat="1">
      <c r="A22" s="170" t="s">
        <v>1772</v>
      </c>
      <c r="B22" s="153">
        <f>'Sources and Uses Budget'!$C21</f>
        <v>0</v>
      </c>
      <c r="C22" s="153">
        <f>'Sources and Uses Budget'!$C21</f>
        <v>0</v>
      </c>
      <c r="D22" s="157">
        <f t="shared" si="0"/>
        <v>0</v>
      </c>
      <c r="E22" s="155"/>
      <c r="F22" s="154"/>
    </row>
    <row r="23" spans="1:6" s="226" customFormat="1">
      <c r="A23" s="170" t="s">
        <v>1773</v>
      </c>
      <c r="B23" s="153">
        <f>'Sources and Uses Budget'!$C22</f>
        <v>0</v>
      </c>
      <c r="C23" s="153">
        <f>'Sources and Uses Budget'!$C22</f>
        <v>0</v>
      </c>
      <c r="D23" s="157">
        <f t="shared" si="0"/>
        <v>0</v>
      </c>
      <c r="E23" s="155"/>
      <c r="F23" s="154"/>
    </row>
    <row r="24" spans="1:6" s="226" customFormat="1">
      <c r="A24" s="170" t="s">
        <v>1774</v>
      </c>
      <c r="B24" s="153">
        <f>'Sources and Uses Budget'!$C23</f>
        <v>0</v>
      </c>
      <c r="C24" s="153">
        <f>'Sources and Uses Budget'!$C23</f>
        <v>0</v>
      </c>
      <c r="D24" s="157">
        <f t="shared" si="0"/>
        <v>0</v>
      </c>
      <c r="E24" s="155"/>
      <c r="F24" s="154"/>
    </row>
    <row r="25" spans="1:6" s="226" customFormat="1">
      <c r="A25" s="360" t="s">
        <v>1775</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ht="13">
      <c r="A27" s="807" t="s">
        <v>1777</v>
      </c>
      <c r="B27" s="157">
        <f>SUM(B18:B26)</f>
        <v>0</v>
      </c>
      <c r="C27" s="157">
        <f>SUM(C18:C26)</f>
        <v>0</v>
      </c>
      <c r="D27" s="157">
        <f>SUM(D18:D26)</f>
        <v>0</v>
      </c>
      <c r="E27" s="155"/>
      <c r="F27" s="154"/>
    </row>
    <row r="28" spans="1:6" s="226" customFormat="1" ht="13">
      <c r="A28" s="158" t="s">
        <v>1778</v>
      </c>
      <c r="B28" s="153">
        <f>'Sources and Uses Budget'!$C$27</f>
        <v>0</v>
      </c>
      <c r="C28" s="153">
        <f>'Sources and Uses Budget'!$C$27</f>
        <v>0</v>
      </c>
      <c r="D28" s="157">
        <f t="shared" si="0"/>
        <v>0</v>
      </c>
      <c r="E28" s="155"/>
      <c r="F28" s="154"/>
    </row>
    <row r="29" spans="1:6" s="226" customFormat="1" ht="13">
      <c r="A29" s="151" t="s">
        <v>1779</v>
      </c>
      <c r="B29" s="151"/>
      <c r="C29" s="151"/>
      <c r="D29" s="151"/>
      <c r="E29" s="169"/>
      <c r="F29" s="151"/>
    </row>
    <row r="30" spans="1:6" s="226" customFormat="1">
      <c r="A30" s="170" t="s">
        <v>1768</v>
      </c>
      <c r="B30" s="153">
        <f>'Sources and Uses Budget'!$C29</f>
        <v>1000000</v>
      </c>
      <c r="C30" s="153">
        <f>'Sources and Uses Budget'!$C29</f>
        <v>1000000</v>
      </c>
      <c r="D30" s="157">
        <f t="shared" si="0"/>
        <v>0</v>
      </c>
      <c r="E30" s="155"/>
      <c r="F30" s="154"/>
    </row>
    <row r="31" spans="1:6" s="226" customFormat="1">
      <c r="A31" s="170" t="s">
        <v>1769</v>
      </c>
      <c r="B31" s="153">
        <f>'Sources and Uses Budget'!$C30</f>
        <v>17510151</v>
      </c>
      <c r="C31" s="153">
        <f>'Sources and Uses Budget'!$C30</f>
        <v>17510151</v>
      </c>
      <c r="D31" s="157">
        <f t="shared" si="0"/>
        <v>0</v>
      </c>
      <c r="E31" s="155"/>
      <c r="F31" s="154"/>
    </row>
    <row r="32" spans="1:6" s="226" customFormat="1">
      <c r="A32" s="170" t="s">
        <v>1770</v>
      </c>
      <c r="B32" s="153">
        <f>'Sources and Uses Budget'!$C31</f>
        <v>1368731</v>
      </c>
      <c r="C32" s="153">
        <f>'Sources and Uses Budget'!$C31</f>
        <v>1368731</v>
      </c>
      <c r="D32" s="157">
        <f t="shared" si="0"/>
        <v>0</v>
      </c>
      <c r="E32" s="155"/>
      <c r="F32" s="154"/>
    </row>
    <row r="33" spans="1:6" s="226" customFormat="1">
      <c r="A33" s="170" t="s">
        <v>1771</v>
      </c>
      <c r="B33" s="153">
        <f>'Sources and Uses Budget'!$C32</f>
        <v>456244</v>
      </c>
      <c r="C33" s="153">
        <f>'Sources and Uses Budget'!$C32</f>
        <v>456244</v>
      </c>
      <c r="D33" s="157">
        <f t="shared" si="0"/>
        <v>0</v>
      </c>
      <c r="E33" s="155"/>
      <c r="F33" s="154"/>
    </row>
    <row r="34" spans="1:6" s="226" customFormat="1">
      <c r="A34" s="170" t="s">
        <v>1772</v>
      </c>
      <c r="B34" s="153">
        <f>'Sources and Uses Budget'!$C33</f>
        <v>1368731</v>
      </c>
      <c r="C34" s="153">
        <f>'Sources and Uses Budget'!$C33</f>
        <v>1368731</v>
      </c>
      <c r="D34" s="157">
        <f t="shared" si="0"/>
        <v>0</v>
      </c>
      <c r="E34" s="155"/>
      <c r="F34" s="154"/>
    </row>
    <row r="35" spans="1:6" s="226" customFormat="1">
      <c r="A35" s="170" t="s">
        <v>1773</v>
      </c>
      <c r="B35" s="153">
        <f>'Sources and Uses Budget'!$C34</f>
        <v>3802030</v>
      </c>
      <c r="C35" s="153">
        <f>'Sources and Uses Budget'!$C34</f>
        <v>3802030</v>
      </c>
      <c r="D35" s="157">
        <f t="shared" si="0"/>
        <v>0</v>
      </c>
      <c r="E35" s="155"/>
      <c r="F35" s="154"/>
    </row>
    <row r="36" spans="1:6" s="226" customFormat="1">
      <c r="A36" s="170" t="s">
        <v>1774</v>
      </c>
      <c r="B36" s="153">
        <f>'Sources and Uses Budget'!$C35</f>
        <v>260059</v>
      </c>
      <c r="C36" s="153">
        <f>'Sources and Uses Budget'!$C35</f>
        <v>260059</v>
      </c>
      <c r="D36" s="157">
        <f t="shared" si="0"/>
        <v>0</v>
      </c>
      <c r="E36" s="155"/>
      <c r="F36" s="154"/>
    </row>
    <row r="37" spans="1:6" s="226" customFormat="1">
      <c r="A37" s="170" t="s">
        <v>1775</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ht="13">
      <c r="A39" s="158" t="s">
        <v>1780</v>
      </c>
      <c r="B39" s="157">
        <f>SUM(B30:B38)</f>
        <v>25765946</v>
      </c>
      <c r="C39" s="157">
        <f>SUM(C30:C38)</f>
        <v>25765946</v>
      </c>
      <c r="D39" s="157">
        <f t="shared" si="0"/>
        <v>0</v>
      </c>
      <c r="E39" s="155"/>
      <c r="F39" s="154"/>
    </row>
    <row r="40" spans="1:6" s="226" customFormat="1" ht="13">
      <c r="A40" s="151" t="s">
        <v>1781</v>
      </c>
      <c r="B40" s="151"/>
      <c r="C40" s="151"/>
      <c r="D40" s="151"/>
      <c r="E40" s="169"/>
      <c r="F40" s="151"/>
    </row>
    <row r="41" spans="1:6" s="226" customFormat="1">
      <c r="A41" s="156" t="s">
        <v>1782</v>
      </c>
      <c r="B41" s="153">
        <f>'Sources and Uses Budget'!$C40</f>
        <v>800000</v>
      </c>
      <c r="C41" s="153">
        <f>'Sources and Uses Budget'!$C40</f>
        <v>800000</v>
      </c>
      <c r="D41" s="157">
        <f t="shared" si="0"/>
        <v>0</v>
      </c>
      <c r="E41" s="155"/>
      <c r="F41" s="154"/>
    </row>
    <row r="42" spans="1:6" s="226" customFormat="1">
      <c r="A42" s="156" t="s">
        <v>1783</v>
      </c>
      <c r="B42" s="153">
        <f>'Sources and Uses Budget'!$C41</f>
        <v>0</v>
      </c>
      <c r="C42" s="153">
        <f>'Sources and Uses Budget'!$C41</f>
        <v>0</v>
      </c>
      <c r="D42" s="157">
        <f t="shared" si="0"/>
        <v>0</v>
      </c>
      <c r="E42" s="155"/>
      <c r="F42" s="154"/>
    </row>
    <row r="43" spans="1:6" s="226" customFormat="1" ht="13">
      <c r="A43" s="158" t="s">
        <v>1784</v>
      </c>
      <c r="B43" s="157">
        <f>SUM(B41:B42)</f>
        <v>800000</v>
      </c>
      <c r="C43" s="157">
        <f>SUM(C41:C42)</f>
        <v>800000</v>
      </c>
      <c r="D43" s="157">
        <f t="shared" si="0"/>
        <v>0</v>
      </c>
      <c r="E43" s="155"/>
      <c r="F43" s="154"/>
    </row>
    <row r="44" spans="1:6" s="226" customFormat="1" ht="13">
      <c r="A44" s="158" t="s">
        <v>1785</v>
      </c>
      <c r="B44" s="153">
        <f>'Sources and Uses Budget'!$C43</f>
        <v>650000</v>
      </c>
      <c r="C44" s="153">
        <f>'Sources and Uses Budget'!$C43</f>
        <v>650000</v>
      </c>
      <c r="D44" s="157">
        <f t="shared" si="0"/>
        <v>0</v>
      </c>
      <c r="E44" s="155"/>
      <c r="F44" s="154"/>
    </row>
    <row r="45" spans="1:6" s="226" customFormat="1" ht="12" customHeight="1">
      <c r="A45" s="151" t="s">
        <v>1786</v>
      </c>
      <c r="B45" s="151"/>
      <c r="C45" s="151"/>
      <c r="D45" s="151"/>
      <c r="E45" s="169"/>
      <c r="F45" s="151"/>
    </row>
    <row r="46" spans="1:6" s="226" customFormat="1">
      <c r="A46" s="170" t="s">
        <v>1787</v>
      </c>
      <c r="B46" s="153">
        <f>'Sources and Uses Budget'!$C45</f>
        <v>1803893</v>
      </c>
      <c r="C46" s="153">
        <f>'Sources and Uses Budget'!$C45</f>
        <v>1803893</v>
      </c>
      <c r="D46" s="157">
        <f t="shared" si="0"/>
        <v>0</v>
      </c>
      <c r="E46" s="155"/>
      <c r="F46" s="154"/>
    </row>
    <row r="47" spans="1:6" s="226" customFormat="1">
      <c r="A47" s="170" t="s">
        <v>1788</v>
      </c>
      <c r="B47" s="153">
        <f>'Sources and Uses Budget'!$C46</f>
        <v>168018</v>
      </c>
      <c r="C47" s="153">
        <f>'Sources and Uses Budget'!$C46</f>
        <v>168018</v>
      </c>
      <c r="D47" s="157">
        <f t="shared" si="0"/>
        <v>0</v>
      </c>
      <c r="E47" s="155"/>
      <c r="F47" s="154"/>
    </row>
    <row r="48" spans="1:6" s="226" customFormat="1" ht="12" customHeight="1">
      <c r="A48" s="1087" t="s">
        <v>1789</v>
      </c>
      <c r="B48" s="153">
        <f>'Sources and Uses Budget'!$C47</f>
        <v>15000</v>
      </c>
      <c r="C48" s="153">
        <f>'Sources and Uses Budget'!$C47</f>
        <v>15000</v>
      </c>
      <c r="D48" s="157">
        <f t="shared" si="0"/>
        <v>0</v>
      </c>
      <c r="E48" s="155"/>
      <c r="F48" s="154"/>
    </row>
    <row r="49" spans="1:6" s="226" customFormat="1">
      <c r="A49" s="170" t="s">
        <v>1790</v>
      </c>
      <c r="B49" s="153">
        <f>'Sources and Uses Budget'!$C48</f>
        <v>234053</v>
      </c>
      <c r="C49" s="153">
        <f>'Sources and Uses Budget'!$C48</f>
        <v>234053</v>
      </c>
      <c r="D49" s="157">
        <f t="shared" si="0"/>
        <v>0</v>
      </c>
      <c r="E49" s="155"/>
      <c r="F49" s="154"/>
    </row>
    <row r="50" spans="1:6" s="226" customFormat="1">
      <c r="A50" s="170" t="s">
        <v>1791</v>
      </c>
      <c r="B50" s="153">
        <f>'Sources and Uses Budget'!$C49</f>
        <v>42005</v>
      </c>
      <c r="C50" s="153">
        <f>'Sources and Uses Budget'!$C49</f>
        <v>42005</v>
      </c>
      <c r="D50" s="157">
        <f t="shared" si="0"/>
        <v>0</v>
      </c>
      <c r="E50" s="155"/>
      <c r="F50" s="154"/>
    </row>
    <row r="51" spans="1:6" s="226" customFormat="1">
      <c r="A51" s="170" t="s">
        <v>1792</v>
      </c>
      <c r="B51" s="153">
        <f>'Sources and Uses Budget'!$C50</f>
        <v>100000</v>
      </c>
      <c r="C51" s="153">
        <f>'Sources and Uses Budget'!$C50</f>
        <v>100000</v>
      </c>
      <c r="D51" s="157">
        <f t="shared" si="0"/>
        <v>0</v>
      </c>
      <c r="E51" s="155"/>
      <c r="F51" s="154"/>
    </row>
    <row r="52" spans="1:6" s="226" customFormat="1">
      <c r="A52" s="170" t="s">
        <v>1793</v>
      </c>
      <c r="B52" s="153">
        <f>'Sources and Uses Budget'!$C51</f>
        <v>105000</v>
      </c>
      <c r="C52" s="153">
        <f>'Sources and Uses Budget'!$C51</f>
        <v>105000</v>
      </c>
      <c r="D52" s="157">
        <f t="shared" si="0"/>
        <v>0</v>
      </c>
      <c r="E52" s="155"/>
      <c r="F52" s="154"/>
    </row>
    <row r="53" spans="1:6" s="226" customFormat="1">
      <c r="A53" s="170" t="s">
        <v>1794</v>
      </c>
      <c r="B53" s="153">
        <f>'Sources and Uses Budget'!$C52</f>
        <v>398000</v>
      </c>
      <c r="C53" s="153">
        <f>'Sources and Uses Budget'!$C52</f>
        <v>398000</v>
      </c>
      <c r="D53" s="157">
        <f t="shared" si="0"/>
        <v>0</v>
      </c>
      <c r="E53" s="155"/>
      <c r="F53" s="154"/>
    </row>
    <row r="54" spans="1:6" s="226" customFormat="1">
      <c r="A54" s="360" t="str">
        <f>'Sources and Uses Budget'!A53</f>
        <v>Other: Employee Reporting</v>
      </c>
      <c r="B54" s="153">
        <f>'Sources and Uses Budget'!$C53</f>
        <v>25000</v>
      </c>
      <c r="C54" s="153">
        <f>'Sources and Uses Budget'!$C53</f>
        <v>25000</v>
      </c>
      <c r="D54" s="157">
        <f t="shared" si="0"/>
        <v>0</v>
      </c>
      <c r="E54" s="155"/>
      <c r="F54" s="154"/>
    </row>
    <row r="55" spans="1:6" s="227" customFormat="1" ht="13">
      <c r="A55" s="158" t="s">
        <v>1796</v>
      </c>
      <c r="B55" s="160">
        <f>SUM(B46:B54)</f>
        <v>2890969</v>
      </c>
      <c r="C55" s="160">
        <f>SUM(C46:C54)</f>
        <v>2890969</v>
      </c>
      <c r="D55" s="157">
        <f t="shared" si="0"/>
        <v>0</v>
      </c>
      <c r="E55" s="155"/>
      <c r="F55" s="154"/>
    </row>
    <row r="56" spans="1:6" s="226" customFormat="1" ht="13">
      <c r="A56" s="151" t="s">
        <v>1356</v>
      </c>
      <c r="B56" s="151"/>
      <c r="C56" s="151"/>
      <c r="D56" s="151"/>
      <c r="E56" s="169"/>
      <c r="F56" s="151"/>
    </row>
    <row r="57" spans="1:6" s="226" customFormat="1">
      <c r="A57" s="156" t="s">
        <v>1797</v>
      </c>
      <c r="B57" s="153">
        <f>'Sources and Uses Budget'!$C56</f>
        <v>0</v>
      </c>
      <c r="C57" s="153">
        <f>'Sources and Uses Budget'!$C56</f>
        <v>0</v>
      </c>
      <c r="D57" s="157">
        <f t="shared" si="0"/>
        <v>0</v>
      </c>
      <c r="E57" s="155"/>
      <c r="F57" s="154"/>
    </row>
    <row r="58" spans="1:6" s="226" customFormat="1" ht="12" customHeight="1">
      <c r="A58" s="156" t="s">
        <v>1789</v>
      </c>
      <c r="B58" s="153">
        <f>'Sources and Uses Budget'!$C57</f>
        <v>0</v>
      </c>
      <c r="C58" s="153">
        <f>'Sources and Uses Budget'!$C57</f>
        <v>0</v>
      </c>
      <c r="D58" s="157">
        <f t="shared" si="0"/>
        <v>0</v>
      </c>
      <c r="E58" s="155"/>
      <c r="F58" s="154"/>
    </row>
    <row r="59" spans="1:6" s="226" customFormat="1">
      <c r="A59" s="156" t="s">
        <v>1792</v>
      </c>
      <c r="B59" s="153">
        <f>'Sources and Uses Budget'!$C58</f>
        <v>10000</v>
      </c>
      <c r="C59" s="153">
        <f>'Sources and Uses Budget'!$C58</f>
        <v>10000</v>
      </c>
      <c r="D59" s="157">
        <f t="shared" si="0"/>
        <v>0</v>
      </c>
      <c r="E59" s="155"/>
      <c r="F59" s="154"/>
    </row>
    <row r="60" spans="1:6" s="226" customFormat="1">
      <c r="A60" s="156" t="s">
        <v>1793</v>
      </c>
      <c r="B60" s="153">
        <f>'Sources and Uses Budget'!$C59</f>
        <v>0</v>
      </c>
      <c r="C60" s="153">
        <f>'Sources and Uses Budget'!$C59</f>
        <v>0</v>
      </c>
      <c r="D60" s="157">
        <f t="shared" si="0"/>
        <v>0</v>
      </c>
      <c r="E60" s="155"/>
      <c r="F60" s="154"/>
    </row>
    <row r="61" spans="1:6" s="226" customFormat="1">
      <c r="A61" s="156" t="s">
        <v>1794</v>
      </c>
      <c r="B61" s="153">
        <f>'Sources and Uses Budget'!$C60</f>
        <v>15000</v>
      </c>
      <c r="C61" s="153">
        <f>'Sources and Uses Budget'!$C60</f>
        <v>15000</v>
      </c>
      <c r="D61" s="157">
        <f t="shared" si="0"/>
        <v>0</v>
      </c>
      <c r="E61" s="155"/>
      <c r="F61" s="154"/>
    </row>
    <row r="62" spans="1:6" s="226" customFormat="1">
      <c r="A62" s="808" t="str">
        <f>'Sources and Uses Budget'!A61</f>
        <v>Other: (Specify)</v>
      </c>
      <c r="B62" s="153">
        <f>'Sources and Uses Budget'!$C61</f>
        <v>0</v>
      </c>
      <c r="C62" s="153">
        <f>'Sources and Uses Budget'!$C61</f>
        <v>0</v>
      </c>
      <c r="D62" s="157">
        <f t="shared" si="0"/>
        <v>0</v>
      </c>
      <c r="E62" s="155"/>
      <c r="F62" s="154"/>
    </row>
    <row r="63" spans="1:6" s="226" customFormat="1" ht="13.75" customHeight="1">
      <c r="A63" s="158" t="s">
        <v>1798</v>
      </c>
      <c r="B63" s="157">
        <f>SUM(B57:B62)</f>
        <v>25000</v>
      </c>
      <c r="C63" s="157">
        <f>SUM(C57:C62)</f>
        <v>25000</v>
      </c>
      <c r="D63" s="157">
        <f t="shared" si="0"/>
        <v>0</v>
      </c>
      <c r="E63" s="155"/>
      <c r="F63" s="154"/>
    </row>
    <row r="64" spans="1:6" s="226" customFormat="1" ht="13">
      <c r="A64" s="161" t="s">
        <v>1799</v>
      </c>
      <c r="B64" s="157">
        <f>SUM(B9+B12+B14+B15+B17+B26+B28+B39+B43+B44+B55+B63)</f>
        <v>32071915</v>
      </c>
      <c r="C64" s="157">
        <f>SUM(C9+C12+C14+C15+C17+C26+C28+C39+C43+C44+C55+C63)</f>
        <v>32071915</v>
      </c>
      <c r="D64" s="157">
        <f t="shared" si="0"/>
        <v>0</v>
      </c>
      <c r="E64" s="155"/>
      <c r="F64" s="154"/>
    </row>
    <row r="65" spans="1:6" s="226" customFormat="1" ht="24">
      <c r="A65" s="82" t="s">
        <v>1800</v>
      </c>
      <c r="B65" s="151"/>
      <c r="C65" s="151"/>
      <c r="D65" s="151"/>
      <c r="E65" s="169"/>
      <c r="F65" s="151"/>
    </row>
    <row r="66" spans="1:6" s="226" customFormat="1">
      <c r="A66" s="170" t="s">
        <v>1801</v>
      </c>
      <c r="B66" s="153">
        <f>'Sources and Uses Budget'!$C65</f>
        <v>100000</v>
      </c>
      <c r="C66" s="153">
        <f>'Sources and Uses Budget'!$C65</f>
        <v>100000</v>
      </c>
      <c r="D66" s="157">
        <f t="shared" si="0"/>
        <v>0</v>
      </c>
      <c r="E66" s="155"/>
      <c r="F66" s="154"/>
    </row>
    <row r="67" spans="1:6" s="226" customFormat="1" ht="23">
      <c r="A67" s="170" t="s">
        <v>1802</v>
      </c>
      <c r="B67" s="153">
        <f>'Sources and Uses Budget'!$C66</f>
        <v>0</v>
      </c>
      <c r="C67" s="153">
        <f>'Sources and Uses Budget'!$C66</f>
        <v>0</v>
      </c>
      <c r="D67" s="157"/>
      <c r="E67" s="155"/>
      <c r="F67" s="154"/>
    </row>
    <row r="68" spans="1:6" s="226" customFormat="1" ht="23">
      <c r="A68" s="170" t="s">
        <v>1803</v>
      </c>
      <c r="B68" s="153">
        <f>'Sources and Uses Budget'!$C67</f>
        <v>0</v>
      </c>
      <c r="C68" s="153">
        <f>'Sources and Uses Budget'!$C67</f>
        <v>0</v>
      </c>
      <c r="D68" s="157"/>
      <c r="E68" s="155"/>
      <c r="F68" s="154"/>
    </row>
    <row r="69" spans="1:6" s="226" customFormat="1">
      <c r="A69" s="170" t="s">
        <v>1804</v>
      </c>
      <c r="B69" s="153">
        <f>'Sources and Uses Budget'!$C68</f>
        <v>0</v>
      </c>
      <c r="C69" s="153">
        <f>'Sources and Uses Budget'!$C68</f>
        <v>0</v>
      </c>
      <c r="D69" s="157"/>
      <c r="E69" s="155"/>
      <c r="F69" s="154"/>
    </row>
    <row r="70" spans="1:6" s="226" customFormat="1">
      <c r="A70" s="360" t="str">
        <f>'Sources and Uses Budget'!A69</f>
        <v>Other: Legal</v>
      </c>
      <c r="B70" s="153">
        <f>'Sources and Uses Budget'!$C69</f>
        <v>225000</v>
      </c>
      <c r="C70" s="153">
        <f>'Sources and Uses Budget'!$C69</f>
        <v>225000</v>
      </c>
      <c r="D70" s="157">
        <f t="shared" si="0"/>
        <v>0</v>
      </c>
      <c r="E70" s="155"/>
      <c r="F70" s="154"/>
    </row>
    <row r="71" spans="1:6" s="226" customFormat="1">
      <c r="A71" s="84" t="s">
        <v>1806</v>
      </c>
      <c r="B71" s="157">
        <f>SUM(B66:B70)</f>
        <v>325000</v>
      </c>
      <c r="C71" s="157">
        <f>SUM(C66:C70)</f>
        <v>325000</v>
      </c>
      <c r="D71" s="157">
        <f t="shared" si="0"/>
        <v>0</v>
      </c>
      <c r="E71" s="155"/>
      <c r="F71" s="154"/>
    </row>
    <row r="72" spans="1:6" s="226" customFormat="1" ht="13">
      <c r="A72" s="151" t="s">
        <v>1807</v>
      </c>
      <c r="B72" s="151"/>
      <c r="C72" s="151"/>
      <c r="D72" s="151"/>
      <c r="E72" s="169"/>
      <c r="F72" s="151"/>
    </row>
    <row r="73" spans="1:6" s="226" customFormat="1">
      <c r="A73" s="156" t="s">
        <v>1808</v>
      </c>
      <c r="B73" s="153">
        <f>'Sources and Uses Budget'!$C72</f>
        <v>0</v>
      </c>
      <c r="C73" s="153">
        <f>'Sources and Uses Budget'!$C72</f>
        <v>0</v>
      </c>
      <c r="D73" s="157">
        <f t="shared" si="0"/>
        <v>0</v>
      </c>
      <c r="E73" s="155"/>
      <c r="F73" s="154"/>
    </row>
    <row r="74" spans="1:6" s="226" customFormat="1">
      <c r="A74" s="156" t="s">
        <v>1809</v>
      </c>
      <c r="B74" s="153">
        <f>'Sources and Uses Budget'!$C73</f>
        <v>0</v>
      </c>
      <c r="C74" s="153">
        <f>'Sources and Uses Budget'!$C73</f>
        <v>0</v>
      </c>
      <c r="D74" s="157">
        <f t="shared" si="0"/>
        <v>0</v>
      </c>
      <c r="E74" s="155"/>
      <c r="F74" s="154"/>
    </row>
    <row r="75" spans="1:6" s="226" customFormat="1">
      <c r="A75" s="172" t="s">
        <v>1810</v>
      </c>
      <c r="B75" s="153">
        <f>'Sources and Uses Budget'!$C74</f>
        <v>0</v>
      </c>
      <c r="C75" s="153">
        <f>'Sources and Uses Budget'!$C74</f>
        <v>0</v>
      </c>
      <c r="D75" s="157">
        <f t="shared" si="0"/>
        <v>0</v>
      </c>
      <c r="E75" s="155"/>
      <c r="F75" s="154"/>
    </row>
    <row r="76" spans="1:6" s="226" customFormat="1">
      <c r="A76" s="156" t="s">
        <v>1811</v>
      </c>
      <c r="B76" s="153">
        <f>'Sources and Uses Budget'!$C75</f>
        <v>300008</v>
      </c>
      <c r="C76" s="153">
        <f>'Sources and Uses Budget'!$C75</f>
        <v>300008</v>
      </c>
      <c r="D76" s="157">
        <f t="shared" si="0"/>
        <v>0</v>
      </c>
      <c r="E76" s="155"/>
      <c r="F76" s="154"/>
    </row>
    <row r="77" spans="1:6" s="226" customFormat="1">
      <c r="A77" s="159" t="s">
        <v>1776</v>
      </c>
      <c r="B77" s="153">
        <f>'Sources and Uses Budget'!$C76</f>
        <v>0</v>
      </c>
      <c r="C77" s="153">
        <f>'Sources and Uses Budget'!$C76</f>
        <v>0</v>
      </c>
      <c r="D77" s="157">
        <f t="shared" si="0"/>
        <v>0</v>
      </c>
      <c r="E77" s="155"/>
      <c r="F77" s="154"/>
    </row>
    <row r="78" spans="1:6" s="226" customFormat="1" ht="13">
      <c r="A78" s="158" t="s">
        <v>1812</v>
      </c>
      <c r="B78" s="157">
        <f>SUM(B73:B77)</f>
        <v>300008</v>
      </c>
      <c r="C78" s="157">
        <f>SUM(C73:C77)</f>
        <v>300008</v>
      </c>
      <c r="D78" s="157">
        <f t="shared" ref="D78:D106" si="1">C78-B78</f>
        <v>0</v>
      </c>
      <c r="E78" s="155"/>
      <c r="F78" s="154"/>
    </row>
    <row r="79" spans="1:6" s="226" customFormat="1" ht="13">
      <c r="A79" s="151" t="s">
        <v>1813</v>
      </c>
      <c r="B79" s="151"/>
      <c r="C79" s="151"/>
      <c r="D79" s="151"/>
      <c r="E79" s="169"/>
      <c r="F79" s="151"/>
    </row>
    <row r="80" spans="1:6" s="226" customFormat="1">
      <c r="A80" s="361" t="s">
        <v>1814</v>
      </c>
      <c r="B80" s="153">
        <f>'Sources and Uses Budget'!$C79</f>
        <v>1325000</v>
      </c>
      <c r="C80" s="153">
        <f>'Sources and Uses Budget'!$C79</f>
        <v>1325000</v>
      </c>
      <c r="D80" s="157">
        <f t="shared" si="1"/>
        <v>0</v>
      </c>
      <c r="E80" s="155"/>
      <c r="F80" s="154"/>
    </row>
    <row r="81" spans="1:6" s="226" customFormat="1">
      <c r="A81" s="361" t="s">
        <v>1815</v>
      </c>
      <c r="B81" s="153">
        <f>'Sources and Uses Budget'!$C80</f>
        <v>357437</v>
      </c>
      <c r="C81" s="153">
        <f>'Sources and Uses Budget'!$C80</f>
        <v>357437</v>
      </c>
      <c r="D81" s="157">
        <f>C81-B81</f>
        <v>0</v>
      </c>
      <c r="E81" s="155"/>
      <c r="F81" s="154"/>
    </row>
    <row r="82" spans="1:6" s="226" customFormat="1" ht="13">
      <c r="A82" s="158" t="s">
        <v>1816</v>
      </c>
      <c r="B82" s="157">
        <f>SUM(B80:B81)</f>
        <v>1682437</v>
      </c>
      <c r="C82" s="157">
        <f>SUM(C80:C81)</f>
        <v>1682437</v>
      </c>
      <c r="D82" s="157">
        <f t="shared" si="1"/>
        <v>0</v>
      </c>
      <c r="E82" s="155"/>
      <c r="F82" s="154"/>
    </row>
    <row r="83" spans="1:6" s="226" customFormat="1" ht="13">
      <c r="A83" s="151" t="s">
        <v>1817</v>
      </c>
      <c r="B83" s="151"/>
      <c r="C83" s="151"/>
      <c r="D83" s="151"/>
      <c r="E83" s="169"/>
      <c r="F83" s="151"/>
    </row>
    <row r="84" spans="1:6" s="226" customFormat="1" ht="13.75" customHeight="1">
      <c r="A84" s="156" t="s">
        <v>2746</v>
      </c>
      <c r="B84" s="153">
        <f>'Sources and Uses Budget'!$C83</f>
        <v>59361</v>
      </c>
      <c r="C84" s="153">
        <f>'Sources and Uses Budget'!$C83</f>
        <v>59361</v>
      </c>
      <c r="D84" s="157">
        <f t="shared" si="1"/>
        <v>0</v>
      </c>
      <c r="E84" s="155"/>
      <c r="F84" s="154"/>
    </row>
    <row r="85" spans="1:6" s="226" customFormat="1">
      <c r="A85" s="156" t="s">
        <v>1819</v>
      </c>
      <c r="B85" s="153">
        <f>'Sources and Uses Budget'!$C84</f>
        <v>50000</v>
      </c>
      <c r="C85" s="153">
        <f>'Sources and Uses Budget'!$C84</f>
        <v>50000</v>
      </c>
      <c r="D85" s="157">
        <f t="shared" si="1"/>
        <v>0</v>
      </c>
      <c r="E85" s="155"/>
      <c r="F85" s="154"/>
    </row>
    <row r="86" spans="1:6" s="226" customFormat="1">
      <c r="A86" s="156" t="s">
        <v>1820</v>
      </c>
      <c r="B86" s="153">
        <f>'Sources and Uses Budget'!$C85</f>
        <v>2090568</v>
      </c>
      <c r="C86" s="153">
        <f>'Sources and Uses Budget'!$C85</f>
        <v>2090568</v>
      </c>
      <c r="D86" s="157">
        <f t="shared" si="1"/>
        <v>0</v>
      </c>
      <c r="E86" s="155"/>
      <c r="F86" s="154"/>
    </row>
    <row r="87" spans="1:6" s="226" customFormat="1">
      <c r="A87" s="156" t="s">
        <v>1821</v>
      </c>
      <c r="B87" s="153">
        <f>'Sources and Uses Budget'!$C86</f>
        <v>824433</v>
      </c>
      <c r="C87" s="153">
        <f>'Sources and Uses Budget'!$C86</f>
        <v>824433</v>
      </c>
      <c r="D87" s="157">
        <f t="shared" si="1"/>
        <v>0</v>
      </c>
      <c r="E87" s="155"/>
      <c r="F87" s="154"/>
    </row>
    <row r="88" spans="1:6" s="226" customFormat="1">
      <c r="A88" s="156" t="s">
        <v>1822</v>
      </c>
      <c r="B88" s="153">
        <f>'Sources and Uses Budget'!$C87</f>
        <v>0</v>
      </c>
      <c r="C88" s="153">
        <f>'Sources and Uses Budget'!$C87</f>
        <v>0</v>
      </c>
      <c r="D88" s="157">
        <f t="shared" si="1"/>
        <v>0</v>
      </c>
      <c r="E88" s="155"/>
      <c r="F88" s="154"/>
    </row>
    <row r="89" spans="1:6" s="226" customFormat="1">
      <c r="A89" s="156" t="s">
        <v>1823</v>
      </c>
      <c r="B89" s="153">
        <f>'Sources and Uses Budget'!$C88</f>
        <v>0</v>
      </c>
      <c r="C89" s="153">
        <f>'Sources and Uses Budget'!$C88</f>
        <v>0</v>
      </c>
      <c r="D89" s="157">
        <f t="shared" si="1"/>
        <v>0</v>
      </c>
      <c r="E89" s="155"/>
      <c r="F89" s="154"/>
    </row>
    <row r="90" spans="1:6" s="226" customFormat="1">
      <c r="A90" s="156" t="s">
        <v>1824</v>
      </c>
      <c r="B90" s="153">
        <f>'Sources and Uses Budget'!$C89</f>
        <v>0</v>
      </c>
      <c r="C90" s="153">
        <f>'Sources and Uses Budget'!$C89</f>
        <v>0</v>
      </c>
      <c r="D90" s="157">
        <f t="shared" si="1"/>
        <v>0</v>
      </c>
      <c r="E90" s="155"/>
      <c r="F90" s="154"/>
    </row>
    <row r="91" spans="1:6" s="226" customFormat="1">
      <c r="A91" s="156" t="s">
        <v>1825</v>
      </c>
      <c r="B91" s="153">
        <f>'Sources and Uses Budget'!$C90</f>
        <v>15000</v>
      </c>
      <c r="C91" s="153">
        <f>'Sources and Uses Budget'!$C90</f>
        <v>15000</v>
      </c>
      <c r="D91" s="157">
        <f t="shared" si="1"/>
        <v>0</v>
      </c>
      <c r="E91" s="155"/>
      <c r="F91" s="154"/>
    </row>
    <row r="92" spans="1:6" s="226" customFormat="1">
      <c r="A92" s="156" t="s">
        <v>1826</v>
      </c>
      <c r="B92" s="153">
        <f>'Sources and Uses Budget'!$C91</f>
        <v>50000</v>
      </c>
      <c r="C92" s="153">
        <f>'Sources and Uses Budget'!$C91</f>
        <v>50000</v>
      </c>
      <c r="D92" s="157">
        <f t="shared" si="1"/>
        <v>0</v>
      </c>
      <c r="E92" s="155"/>
      <c r="F92" s="154"/>
    </row>
    <row r="93" spans="1:6" s="226" customFormat="1">
      <c r="A93" s="361" t="s">
        <v>1827</v>
      </c>
      <c r="B93" s="153">
        <f>'Sources and Uses Budget'!$C92</f>
        <v>20000</v>
      </c>
      <c r="C93" s="153">
        <f>'Sources and Uses Budget'!$C92</f>
        <v>20000</v>
      </c>
      <c r="D93" s="157">
        <f t="shared" si="1"/>
        <v>0</v>
      </c>
      <c r="E93" s="155"/>
      <c r="F93" s="154"/>
    </row>
    <row r="94" spans="1:6" s="226" customFormat="1">
      <c r="A94" s="159" t="s">
        <v>1776</v>
      </c>
      <c r="B94" s="153">
        <f>'Sources and Uses Budget'!$C93</f>
        <v>342000</v>
      </c>
      <c r="C94" s="153">
        <f>'Sources and Uses Budget'!$C93</f>
        <v>342000</v>
      </c>
      <c r="D94" s="157">
        <f t="shared" si="1"/>
        <v>0</v>
      </c>
      <c r="E94" s="155"/>
      <c r="F94" s="154"/>
    </row>
    <row r="95" spans="1:6" s="226" customFormat="1">
      <c r="A95" s="159" t="s">
        <v>1776</v>
      </c>
      <c r="B95" s="153">
        <f>'Sources and Uses Budget'!$C94</f>
        <v>7598</v>
      </c>
      <c r="C95" s="153">
        <f>'Sources and Uses Budget'!$C94</f>
        <v>7598</v>
      </c>
      <c r="D95" s="157">
        <f t="shared" si="1"/>
        <v>0</v>
      </c>
      <c r="E95" s="155"/>
      <c r="F95" s="154"/>
    </row>
    <row r="96" spans="1:6" s="226" customFormat="1">
      <c r="A96" s="159" t="s">
        <v>1776</v>
      </c>
      <c r="B96" s="153">
        <f>'Sources and Uses Budget'!$C95</f>
        <v>0</v>
      </c>
      <c r="C96" s="153">
        <f>'Sources and Uses Budget'!$C95</f>
        <v>0</v>
      </c>
      <c r="D96" s="157">
        <f t="shared" si="1"/>
        <v>0</v>
      </c>
      <c r="E96" s="155"/>
      <c r="F96" s="154"/>
    </row>
    <row r="97" spans="1:6" s="226" customFormat="1" ht="13">
      <c r="A97" s="158" t="s">
        <v>1830</v>
      </c>
      <c r="B97" s="157">
        <f>SUM(B84:B96)</f>
        <v>3458960</v>
      </c>
      <c r="C97" s="157">
        <f>SUM(C84:C96)</f>
        <v>3458960</v>
      </c>
      <c r="D97" s="157">
        <f t="shared" si="1"/>
        <v>0</v>
      </c>
      <c r="E97" s="155"/>
      <c r="F97" s="154"/>
    </row>
    <row r="98" spans="1:6" s="226" customFormat="1" ht="13">
      <c r="A98" s="158" t="s">
        <v>1831</v>
      </c>
      <c r="B98" s="157">
        <f>SUM(B64+B71+B78+B82+B97)</f>
        <v>37838320</v>
      </c>
      <c r="C98" s="157">
        <f>SUM(C64+C71+C78+C82+C97)</f>
        <v>37838320</v>
      </c>
      <c r="D98" s="157">
        <f t="shared" si="1"/>
        <v>0</v>
      </c>
      <c r="E98" s="155"/>
      <c r="F98" s="154"/>
    </row>
    <row r="99" spans="1:6" s="226" customFormat="1" ht="13">
      <c r="A99" s="151" t="s">
        <v>1832</v>
      </c>
      <c r="B99" s="151"/>
      <c r="C99" s="151"/>
      <c r="D99" s="151"/>
      <c r="E99" s="169"/>
      <c r="F99" s="151"/>
    </row>
    <row r="100" spans="1:6" s="226" customFormat="1">
      <c r="A100" s="170" t="s">
        <v>1833</v>
      </c>
      <c r="B100" s="153">
        <f>'Sources and Uses Budget'!$C99</f>
        <v>5257657</v>
      </c>
      <c r="C100" s="153">
        <f>'Sources and Uses Budget'!$C99</f>
        <v>5257657</v>
      </c>
      <c r="D100" s="157">
        <f t="shared" si="1"/>
        <v>0</v>
      </c>
      <c r="E100" s="155"/>
      <c r="F100" s="154"/>
    </row>
    <row r="101" spans="1:6" s="226" customFormat="1">
      <c r="A101" s="170" t="s">
        <v>1834</v>
      </c>
      <c r="B101" s="153">
        <f>'Sources and Uses Budget'!$C100</f>
        <v>0</v>
      </c>
      <c r="C101" s="153">
        <f>'Sources and Uses Budget'!$C100</f>
        <v>0</v>
      </c>
      <c r="D101" s="157">
        <f t="shared" si="1"/>
        <v>0</v>
      </c>
      <c r="E101" s="155"/>
      <c r="F101" s="154"/>
    </row>
    <row r="102" spans="1:6" s="226" customFormat="1">
      <c r="A102" s="170" t="s">
        <v>1835</v>
      </c>
      <c r="B102" s="153">
        <f>'Sources and Uses Budget'!$C101</f>
        <v>0</v>
      </c>
      <c r="C102" s="153">
        <f>'Sources and Uses Budget'!$C101</f>
        <v>0</v>
      </c>
      <c r="D102" s="157">
        <f t="shared" si="1"/>
        <v>0</v>
      </c>
      <c r="E102" s="155"/>
      <c r="F102" s="154"/>
    </row>
    <row r="103" spans="1:6" s="226" customFormat="1" ht="12" customHeight="1">
      <c r="A103" s="170" t="s">
        <v>1836</v>
      </c>
      <c r="B103" s="153">
        <f>'Sources and Uses Budget'!$C102</f>
        <v>0</v>
      </c>
      <c r="C103" s="153">
        <f>'Sources and Uses Budget'!$C102</f>
        <v>0</v>
      </c>
      <c r="D103" s="157">
        <f t="shared" si="1"/>
        <v>0</v>
      </c>
      <c r="E103" s="155"/>
      <c r="F103" s="154"/>
    </row>
    <row r="104" spans="1:6" s="226" customFormat="1">
      <c r="A104" s="808" t="str">
        <f>'Sources and Uses Budget'!A103</f>
        <v>Other: (Specify)</v>
      </c>
      <c r="B104" s="153">
        <f>'Sources and Uses Budget'!$C103</f>
        <v>0</v>
      </c>
      <c r="C104" s="153">
        <f>'Sources and Uses Budget'!$C103</f>
        <v>0</v>
      </c>
      <c r="D104" s="157">
        <f t="shared" si="1"/>
        <v>0</v>
      </c>
      <c r="E104" s="155"/>
      <c r="F104" s="154"/>
    </row>
    <row r="105" spans="1:6" s="226" customFormat="1" ht="13">
      <c r="A105" s="158" t="s">
        <v>1837</v>
      </c>
      <c r="B105" s="157">
        <f>SUM(B100:B104)</f>
        <v>5257657</v>
      </c>
      <c r="C105" s="157">
        <f>SUM(C100:C104)</f>
        <v>5257657</v>
      </c>
      <c r="D105" s="157">
        <f t="shared" si="1"/>
        <v>0</v>
      </c>
      <c r="E105" s="155"/>
      <c r="F105" s="154"/>
    </row>
    <row r="106" spans="1:6" s="226" customFormat="1" ht="13">
      <c r="A106" s="158" t="s">
        <v>1838</v>
      </c>
      <c r="B106" s="160">
        <f>SUM(B98+B105)</f>
        <v>43095977</v>
      </c>
      <c r="C106" s="160">
        <f>SUM(C98+C105)</f>
        <v>43095977</v>
      </c>
      <c r="D106" s="157">
        <f t="shared" si="1"/>
        <v>0</v>
      </c>
      <c r="E106" s="155"/>
      <c r="F106" s="154"/>
    </row>
    <row r="107" spans="1:6" s="226" customFormat="1" ht="13">
      <c r="A107" s="164" t="s">
        <v>2747</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272" customWidth="1"/>
    <col min="11" max="16384" width="8.81640625" style="272" hidden="1"/>
  </cols>
  <sheetData>
    <row r="1" spans="1:10" ht="15.5">
      <c r="A1" s="1235" t="s">
        <v>293</v>
      </c>
      <c r="B1" s="1236"/>
      <c r="C1" s="1236"/>
      <c r="D1" s="1236"/>
      <c r="E1" s="1236"/>
      <c r="F1" s="1236"/>
      <c r="G1" s="1236"/>
      <c r="H1" s="1236"/>
      <c r="I1" s="1236"/>
      <c r="J1" s="1236"/>
    </row>
    <row r="2" spans="1:10" ht="15.5">
      <c r="A2" s="1239" t="s">
        <v>294</v>
      </c>
      <c r="B2" s="1240"/>
      <c r="C2" s="1240"/>
      <c r="D2" s="1240"/>
      <c r="E2" s="1240"/>
      <c r="F2" s="1240"/>
      <c r="G2" s="1240"/>
      <c r="H2" s="1240"/>
      <c r="I2" s="1240"/>
      <c r="J2" s="1240"/>
    </row>
    <row r="3" spans="1:10" ht="12.5"/>
    <row r="4" spans="1:10" ht="12.75" customHeight="1">
      <c r="A4" s="1237" t="s">
        <v>295</v>
      </c>
      <c r="B4" s="1237"/>
      <c r="C4" s="1237"/>
      <c r="D4" s="1237"/>
      <c r="E4" s="1237"/>
      <c r="F4" s="1237"/>
      <c r="G4" s="1237"/>
      <c r="H4" s="1237"/>
      <c r="I4" s="1237"/>
      <c r="J4" s="1237"/>
    </row>
    <row r="5" spans="1:10" ht="12.5">
      <c r="A5" s="1237"/>
      <c r="B5" s="1237"/>
      <c r="C5" s="1237"/>
      <c r="D5" s="1237"/>
      <c r="E5" s="1237"/>
      <c r="F5" s="1237"/>
      <c r="G5" s="1237"/>
      <c r="H5" s="1237"/>
      <c r="I5" s="1237"/>
      <c r="J5" s="1237"/>
    </row>
    <row r="6" spans="1:10" ht="30" customHeight="1">
      <c r="A6" s="1237"/>
      <c r="B6" s="1237"/>
      <c r="C6" s="1237"/>
      <c r="D6" s="1237"/>
      <c r="E6" s="1237"/>
      <c r="F6" s="1237"/>
      <c r="G6" s="1237"/>
      <c r="H6" s="1237"/>
      <c r="I6" s="1237"/>
      <c r="J6" s="1237"/>
    </row>
    <row r="7" spans="1:10" ht="12.5">
      <c r="A7" s="1119"/>
      <c r="B7" s="1119"/>
      <c r="C7" s="1119"/>
      <c r="D7" s="1119"/>
      <c r="E7" s="1119"/>
      <c r="F7" s="1119"/>
      <c r="G7" s="1119"/>
      <c r="H7" s="1119"/>
      <c r="I7" s="1119"/>
      <c r="J7" s="1119"/>
    </row>
    <row r="8" spans="1:10" ht="12.75" customHeight="1">
      <c r="A8" s="272" t="s">
        <v>296</v>
      </c>
      <c r="B8" s="1119"/>
      <c r="C8" s="1119"/>
      <c r="D8" s="1119"/>
      <c r="E8" s="1119"/>
      <c r="F8" s="1119"/>
      <c r="G8" s="1119"/>
      <c r="H8" s="1119"/>
      <c r="I8" s="1119"/>
      <c r="J8" s="1119"/>
    </row>
    <row r="9" spans="1:10" ht="12.5"/>
    <row r="10" spans="1:10" ht="12.75" customHeight="1">
      <c r="A10" s="1241" t="s">
        <v>297</v>
      </c>
      <c r="B10" s="1241"/>
      <c r="C10" s="1241"/>
      <c r="D10" s="1241"/>
      <c r="E10" s="1241"/>
      <c r="F10" s="1241"/>
      <c r="G10" s="1241"/>
      <c r="H10" s="1241"/>
      <c r="I10" s="1241"/>
      <c r="J10" s="1241"/>
    </row>
    <row r="11" spans="1:10" ht="12.5">
      <c r="A11" s="1241"/>
      <c r="B11" s="1241"/>
      <c r="C11" s="1241"/>
      <c r="D11" s="1241"/>
      <c r="E11" s="1241"/>
      <c r="F11" s="1241"/>
      <c r="G11" s="1241"/>
      <c r="H11" s="1241"/>
      <c r="I11" s="1241"/>
      <c r="J11" s="1241"/>
    </row>
    <row r="12" spans="1:10" ht="12.5">
      <c r="A12" s="1241"/>
      <c r="B12" s="1241"/>
      <c r="C12" s="1241"/>
      <c r="D12" s="1241"/>
      <c r="E12" s="1241"/>
      <c r="F12" s="1241"/>
      <c r="G12" s="1241"/>
      <c r="H12" s="1241"/>
      <c r="I12" s="1241"/>
      <c r="J12" s="1241"/>
    </row>
    <row r="13" spans="1:10" ht="12.5">
      <c r="A13" s="1241"/>
      <c r="B13" s="1241"/>
      <c r="C13" s="1241"/>
      <c r="D13" s="1241"/>
      <c r="E13" s="1241"/>
      <c r="F13" s="1241"/>
      <c r="G13" s="1241"/>
      <c r="H13" s="1241"/>
      <c r="I13" s="1241"/>
      <c r="J13" s="1241"/>
    </row>
    <row r="14" spans="1:10" ht="12.5">
      <c r="A14" s="1241"/>
      <c r="B14" s="1241"/>
      <c r="C14" s="1241"/>
      <c r="D14" s="1241"/>
      <c r="E14" s="1241"/>
      <c r="F14" s="1241"/>
      <c r="G14" s="1241"/>
      <c r="H14" s="1241"/>
      <c r="I14" s="1241"/>
      <c r="J14" s="1241"/>
    </row>
    <row r="15" spans="1:10" ht="12.5">
      <c r="A15" s="1241"/>
      <c r="B15" s="1241"/>
      <c r="C15" s="1241"/>
      <c r="D15" s="1241"/>
      <c r="E15" s="1241"/>
      <c r="F15" s="1241"/>
      <c r="G15" s="1241"/>
      <c r="H15" s="1241"/>
      <c r="I15" s="1241"/>
      <c r="J15" s="1241"/>
    </row>
    <row r="16" spans="1:10" ht="12.5">
      <c r="A16" s="1120"/>
      <c r="B16" s="1120"/>
      <c r="C16" s="1120"/>
      <c r="D16" s="1120"/>
      <c r="E16" s="1120"/>
      <c r="F16" s="1120"/>
      <c r="G16" s="1120"/>
      <c r="H16" s="1120"/>
      <c r="I16" s="1120"/>
      <c r="J16" s="1120"/>
    </row>
    <row r="17" spans="1:10" ht="12.5">
      <c r="A17" s="332" t="s">
        <v>298</v>
      </c>
      <c r="B17" s="1119"/>
      <c r="C17" s="1119"/>
      <c r="D17" s="1119"/>
      <c r="E17" s="1119"/>
      <c r="F17" s="1119"/>
      <c r="G17" s="1119"/>
      <c r="H17" s="1119"/>
      <c r="I17" s="1119"/>
      <c r="J17" s="1119"/>
    </row>
    <row r="18" spans="1:10" ht="12.5">
      <c r="A18" s="1119" t="s">
        <v>254</v>
      </c>
      <c r="B18" s="1119"/>
      <c r="C18" s="1119"/>
      <c r="D18" s="1119"/>
      <c r="E18" s="1119"/>
      <c r="F18" s="1119"/>
      <c r="G18" s="1119"/>
      <c r="H18" s="1119"/>
      <c r="I18" s="1119"/>
      <c r="J18" s="1119"/>
    </row>
    <row r="19" spans="1:10" ht="12.5">
      <c r="A19" s="1240" t="s">
        <v>299</v>
      </c>
      <c r="B19" s="1240"/>
      <c r="C19" s="1240"/>
      <c r="D19" s="1240"/>
      <c r="E19" s="124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7" t="s">
        <v>300</v>
      </c>
      <c r="B56" s="1237"/>
      <c r="C56" s="1237"/>
      <c r="D56" s="1237"/>
      <c r="E56" s="1237"/>
      <c r="F56" s="1237"/>
      <c r="G56" s="1237"/>
      <c r="H56" s="1237"/>
      <c r="I56" s="1237"/>
      <c r="J56" s="1237"/>
    </row>
    <row r="57" spans="1:10" ht="12.5">
      <c r="A57" s="1237"/>
      <c r="B57" s="1237"/>
      <c r="C57" s="1237"/>
      <c r="D57" s="1237"/>
      <c r="E57" s="1237"/>
      <c r="F57" s="1237"/>
      <c r="G57" s="1237"/>
      <c r="H57" s="1237"/>
      <c r="I57" s="1237"/>
      <c r="J57" s="1237"/>
    </row>
    <row r="58" spans="1:10" ht="12.5">
      <c r="A58" s="1237"/>
      <c r="B58" s="1237"/>
      <c r="C58" s="1237"/>
      <c r="D58" s="1237"/>
      <c r="E58" s="1237"/>
      <c r="F58" s="1237"/>
      <c r="G58" s="1237"/>
      <c r="H58" s="1237"/>
      <c r="I58" s="1237"/>
      <c r="J58" s="1237"/>
    </row>
    <row r="59" spans="1:10" ht="12.5"/>
    <row r="60" spans="1:10" ht="12.5">
      <c r="A60" s="272" t="s">
        <v>299</v>
      </c>
    </row>
    <row r="61" spans="1:10" ht="12.5"/>
    <row r="62" spans="1:10" ht="12.5"/>
    <row r="63" spans="1:10" ht="12.5"/>
    <row r="64" spans="1:10" ht="12.5"/>
    <row r="65" spans="1:9" ht="12.5"/>
    <row r="66" spans="1:9" ht="12.5"/>
    <row r="67" spans="1:9" ht="12.5"/>
    <row r="68" spans="1:9" ht="12.5"/>
    <row r="69" spans="1:9" ht="12.5"/>
    <row r="70" spans="1:9" ht="12.5"/>
    <row r="71" spans="1:9" ht="13">
      <c r="A71" s="1238" t="s">
        <v>301</v>
      </c>
      <c r="B71" s="1238"/>
      <c r="C71" s="1238"/>
      <c r="D71" s="1238"/>
      <c r="E71" s="1238"/>
      <c r="F71" s="1238"/>
      <c r="G71" s="1238"/>
      <c r="H71" s="1238"/>
      <c r="I71" s="1238"/>
    </row>
    <row r="72" spans="1:9" ht="12.5">
      <c r="A72" s="1228" t="s">
        <v>14</v>
      </c>
      <c r="B72" s="1228"/>
      <c r="C72" s="1228"/>
      <c r="D72" s="1228"/>
      <c r="E72" s="1228"/>
    </row>
    <row r="73" spans="1:9" ht="12.5">
      <c r="A73" s="1228" t="s">
        <v>15</v>
      </c>
      <c r="B73" s="1228"/>
      <c r="C73" s="1228"/>
      <c r="D73" s="1228"/>
      <c r="E73" s="1228"/>
    </row>
    <row r="74" spans="1:9" ht="12.5">
      <c r="A74" s="1228" t="s">
        <v>302</v>
      </c>
      <c r="B74" s="1228"/>
      <c r="C74" s="1228"/>
      <c r="D74" s="1228"/>
      <c r="E74" s="1228"/>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5" workbookViewId="0">
      <selection activeCell="B1123" sqref="B1123"/>
    </sheetView>
  </sheetViews>
  <sheetFormatPr defaultColWidth="0" defaultRowHeight="13" zeroHeight="1"/>
  <cols>
    <col min="1" max="1" width="3.453125" style="335" customWidth="1"/>
    <col min="2" max="2" width="13.453125" style="335" customWidth="1"/>
    <col min="3" max="3" width="2.453125" style="335" customWidth="1"/>
    <col min="4" max="5" width="3.453125" style="272" customWidth="1"/>
    <col min="6" max="6" width="65.453125" style="272" customWidth="1"/>
    <col min="7" max="7" width="1.453125" style="272" customWidth="1"/>
    <col min="8" max="8" width="3.453125" style="272" customWidth="1"/>
    <col min="9" max="9" width="9.1796875" style="274" customWidth="1"/>
    <col min="10" max="10" width="8.81640625" style="272" hidden="1" customWidth="1"/>
    <col min="11" max="16384" width="8.81640625" style="272" hidden="1"/>
  </cols>
  <sheetData>
    <row r="1" spans="1:13"/>
    <row r="2" spans="1:13">
      <c r="A2" s="1242" t="s">
        <v>303</v>
      </c>
      <c r="B2" s="1242"/>
      <c r="C2" s="1242"/>
      <c r="D2" s="1242"/>
      <c r="E2" s="1242"/>
      <c r="F2" s="1242"/>
      <c r="G2" s="1242"/>
      <c r="H2" s="1242"/>
      <c r="I2" s="1242"/>
    </row>
    <row r="3" spans="1:13">
      <c r="A3" s="1243" t="s">
        <v>304</v>
      </c>
      <c r="B3" s="1243"/>
      <c r="C3" s="1243"/>
      <c r="D3" s="1243"/>
      <c r="E3" s="1243"/>
      <c r="F3" s="1243"/>
      <c r="G3" s="1243"/>
      <c r="H3" s="1243"/>
      <c r="I3" s="1243"/>
    </row>
    <row r="4" spans="1:13">
      <c r="A4" s="1243"/>
      <c r="B4" s="1243"/>
      <c r="C4" s="1240"/>
      <c r="D4" s="1240"/>
      <c r="E4" s="1240"/>
      <c r="F4" s="1240"/>
      <c r="G4" s="1240"/>
    </row>
    <row r="5" spans="1:13">
      <c r="A5" s="1243"/>
      <c r="B5" s="1243"/>
      <c r="C5" s="1240"/>
      <c r="D5" s="1240"/>
      <c r="E5" s="1240"/>
      <c r="F5" s="1240"/>
      <c r="G5" s="1240"/>
    </row>
    <row r="6" spans="1:13" ht="12.75" customHeight="1">
      <c r="A6" s="1267" t="s">
        <v>305</v>
      </c>
      <c r="B6" s="1267"/>
      <c r="C6" s="1267"/>
      <c r="D6" s="1267"/>
      <c r="E6" s="1267"/>
      <c r="F6" s="1267"/>
      <c r="G6" s="1267"/>
      <c r="I6" s="1140"/>
    </row>
    <row r="7" spans="1:13">
      <c r="A7" s="1267"/>
      <c r="B7" s="1267"/>
      <c r="C7" s="1267"/>
      <c r="D7" s="1267"/>
      <c r="E7" s="1267"/>
      <c r="F7" s="1267"/>
      <c r="G7" s="1267"/>
      <c r="I7" s="1140"/>
    </row>
    <row r="8" spans="1:13">
      <c r="A8" s="1136"/>
      <c r="B8" s="1136"/>
      <c r="C8" s="1143"/>
      <c r="D8" s="1143"/>
      <c r="E8" s="1143"/>
      <c r="F8" s="1143"/>
    </row>
    <row r="9" spans="1:13">
      <c r="A9" s="1247" t="s">
        <v>306</v>
      </c>
      <c r="B9" s="1247"/>
      <c r="C9" s="1247"/>
      <c r="D9" s="1247"/>
      <c r="E9" s="1247"/>
      <c r="F9" s="1247"/>
      <c r="G9" s="1247"/>
      <c r="H9" s="815"/>
      <c r="I9" s="816"/>
    </row>
    <row r="10" spans="1:13">
      <c r="A10" s="1143"/>
      <c r="B10" s="1143"/>
      <c r="E10" s="274"/>
    </row>
    <row r="11" spans="1:13" ht="13.75" customHeight="1">
      <c r="C11" s="1143"/>
      <c r="D11" s="1266" t="s">
        <v>307</v>
      </c>
      <c r="E11" s="1266"/>
      <c r="F11" s="1266"/>
    </row>
    <row r="12" spans="1:13">
      <c r="C12" s="1143"/>
      <c r="D12" s="1266"/>
      <c r="E12" s="1266"/>
      <c r="F12" s="1266"/>
    </row>
    <row r="13" spans="1:13">
      <c r="A13" s="336"/>
      <c r="B13" s="336"/>
      <c r="C13" s="336"/>
      <c r="D13" s="1245" t="s">
        <v>308</v>
      </c>
      <c r="E13" s="1245"/>
      <c r="F13" s="1245"/>
      <c r="M13" s="55"/>
    </row>
    <row r="14" spans="1:13">
      <c r="A14" s="336"/>
      <c r="B14" s="336"/>
      <c r="C14" s="336"/>
      <c r="D14" s="332"/>
      <c r="L14" s="1141"/>
    </row>
    <row r="15" spans="1:13">
      <c r="A15" s="337"/>
      <c r="B15" s="338" t="s">
        <v>309</v>
      </c>
      <c r="C15" s="336"/>
      <c r="D15" s="1244" t="s">
        <v>310</v>
      </c>
      <c r="E15" s="1244"/>
      <c r="F15" s="1244"/>
      <c r="I15" s="1140"/>
    </row>
    <row r="16" spans="1:13">
      <c r="A16" s="336"/>
      <c r="B16" s="336"/>
      <c r="C16" s="336"/>
      <c r="D16" s="1244"/>
      <c r="E16" s="1244"/>
      <c r="F16" s="1244"/>
      <c r="I16" s="1140"/>
    </row>
    <row r="17" spans="1:9">
      <c r="A17" s="336"/>
      <c r="B17" s="336"/>
      <c r="C17" s="336"/>
      <c r="D17" s="1244"/>
      <c r="E17" s="1244"/>
      <c r="F17" s="1244"/>
      <c r="I17" s="1140"/>
    </row>
    <row r="18" spans="1:9">
      <c r="A18" s="336"/>
      <c r="B18" s="336"/>
      <c r="C18" s="336"/>
      <c r="D18" s="1132"/>
      <c r="E18" s="1141" t="s">
        <v>311</v>
      </c>
      <c r="F18" s="1132"/>
      <c r="I18" s="1140"/>
    </row>
    <row r="19" spans="1:9">
      <c r="A19" s="336"/>
      <c r="B19" s="336"/>
      <c r="C19" s="336"/>
      <c r="I19" s="1140"/>
    </row>
    <row r="20" spans="1:9">
      <c r="A20" s="337"/>
      <c r="B20" s="338" t="s">
        <v>309</v>
      </c>
      <c r="D20" s="1244" t="s">
        <v>312</v>
      </c>
      <c r="E20" s="1244"/>
      <c r="F20" s="1244"/>
      <c r="I20" s="1140"/>
    </row>
    <row r="21" spans="1:9">
      <c r="A21" s="337"/>
      <c r="D21" s="1244"/>
      <c r="E21" s="1244"/>
      <c r="F21" s="1244"/>
      <c r="I21" s="1140"/>
    </row>
    <row r="22" spans="1:9">
      <c r="A22" s="337"/>
      <c r="D22" s="1134"/>
      <c r="E22" s="55" t="s">
        <v>313</v>
      </c>
      <c r="F22" s="1134"/>
      <c r="I22" s="1140"/>
    </row>
    <row r="23" spans="1:9">
      <c r="A23" s="337"/>
      <c r="B23" s="337"/>
      <c r="D23" s="1131"/>
      <c r="I23" s="1140"/>
    </row>
    <row r="24" spans="1:9">
      <c r="A24" s="337"/>
      <c r="B24" s="338" t="s">
        <v>314</v>
      </c>
      <c r="D24" s="1244" t="s">
        <v>315</v>
      </c>
      <c r="E24" s="1244"/>
      <c r="F24" s="1244"/>
      <c r="I24" s="1140"/>
    </row>
    <row r="25" spans="1:9">
      <c r="A25" s="337"/>
      <c r="B25" s="337"/>
      <c r="D25" s="1244"/>
      <c r="E25" s="1244"/>
      <c r="F25" s="1244"/>
      <c r="I25" s="1140"/>
    </row>
    <row r="26" spans="1:9">
      <c r="I26" s="1140"/>
    </row>
    <row r="27" spans="1:9">
      <c r="A27" s="337"/>
      <c r="B27" s="338" t="s">
        <v>309</v>
      </c>
      <c r="D27" s="1244" t="s">
        <v>316</v>
      </c>
      <c r="E27" s="1244"/>
      <c r="F27" s="1244"/>
      <c r="I27" s="1140"/>
    </row>
    <row r="28" spans="1:9">
      <c r="D28" s="1244"/>
      <c r="E28" s="1244"/>
      <c r="F28" s="1244"/>
      <c r="I28" s="1140"/>
    </row>
    <row r="29" spans="1:9">
      <c r="D29" s="1244"/>
      <c r="E29" s="1244"/>
      <c r="F29" s="1244"/>
      <c r="I29" s="1140"/>
    </row>
    <row r="30" spans="1:9">
      <c r="D30" s="1244"/>
      <c r="E30" s="1244"/>
      <c r="F30" s="1244"/>
      <c r="I30" s="1140"/>
    </row>
    <row r="31" spans="1:9">
      <c r="D31" s="1244"/>
      <c r="E31" s="1244"/>
      <c r="F31" s="1244"/>
      <c r="I31" s="1140"/>
    </row>
    <row r="32" spans="1:9">
      <c r="D32" s="1139"/>
      <c r="I32" s="1140"/>
    </row>
    <row r="33" spans="1:9">
      <c r="B33" s="338" t="s">
        <v>314</v>
      </c>
      <c r="D33" s="1244" t="s">
        <v>317</v>
      </c>
      <c r="E33" s="1244"/>
      <c r="F33" s="1244"/>
      <c r="I33" s="1140"/>
    </row>
    <row r="34" spans="1:9">
      <c r="D34" s="1244"/>
      <c r="E34" s="1244"/>
      <c r="F34" s="1244"/>
      <c r="I34" s="1140"/>
    </row>
    <row r="35" spans="1:9">
      <c r="A35" s="337"/>
      <c r="B35" s="337"/>
      <c r="D35" s="1139"/>
      <c r="I35" s="1140"/>
    </row>
    <row r="36" spans="1:9" ht="14.5" customHeight="1">
      <c r="A36" s="337"/>
      <c r="B36" s="338" t="s">
        <v>314</v>
      </c>
      <c r="D36" s="1244" t="s">
        <v>318</v>
      </c>
      <c r="E36" s="1244"/>
      <c r="F36" s="1244"/>
      <c r="I36" s="1140"/>
    </row>
    <row r="37" spans="1:9">
      <c r="A37" s="337"/>
      <c r="B37" s="337"/>
      <c r="D37" s="1244"/>
      <c r="E37" s="1244"/>
      <c r="F37" s="1244"/>
      <c r="I37" s="1140"/>
    </row>
    <row r="38" spans="1:9">
      <c r="A38" s="337"/>
      <c r="B38" s="337"/>
      <c r="D38" s="1244"/>
      <c r="E38" s="1244"/>
      <c r="F38" s="1244"/>
      <c r="I38" s="1140"/>
    </row>
    <row r="39" spans="1:9">
      <c r="A39" s="337"/>
      <c r="B39" s="337"/>
      <c r="D39" s="1244"/>
      <c r="E39" s="1244"/>
      <c r="F39" s="1244"/>
      <c r="I39" s="1140"/>
    </row>
    <row r="40" spans="1:9">
      <c r="A40" s="337"/>
      <c r="B40" s="337"/>
      <c r="I40" s="1140"/>
    </row>
    <row r="41" spans="1:9">
      <c r="A41" s="337"/>
      <c r="B41" s="338" t="s">
        <v>314</v>
      </c>
      <c r="D41" s="1244" t="s">
        <v>319</v>
      </c>
      <c r="E41" s="1244"/>
      <c r="F41" s="1244"/>
      <c r="I41" s="1140"/>
    </row>
    <row r="42" spans="1:9">
      <c r="A42" s="337"/>
      <c r="B42" s="337"/>
      <c r="D42" s="1244"/>
      <c r="E42" s="1244"/>
      <c r="F42" s="1244"/>
      <c r="I42" s="1140"/>
    </row>
    <row r="43" spans="1:9">
      <c r="A43" s="337"/>
      <c r="B43" s="337"/>
      <c r="D43" s="1244"/>
      <c r="E43" s="1244"/>
      <c r="F43" s="1244"/>
      <c r="I43" s="1140"/>
    </row>
    <row r="44" spans="1:9">
      <c r="A44" s="337"/>
      <c r="B44" s="337"/>
      <c r="D44" s="1244"/>
      <c r="E44" s="1244"/>
      <c r="F44" s="1244"/>
      <c r="I44" s="1140"/>
    </row>
    <row r="45" spans="1:9">
      <c r="A45" s="337"/>
      <c r="B45" s="337"/>
      <c r="D45" s="1244"/>
      <c r="E45" s="1244"/>
      <c r="F45" s="1244"/>
      <c r="I45" s="1140"/>
    </row>
    <row r="46" spans="1:9">
      <c r="A46" s="337"/>
      <c r="B46" s="337"/>
      <c r="D46" s="1132"/>
      <c r="E46" s="1132"/>
      <c r="F46" s="1132"/>
      <c r="I46" s="1140"/>
    </row>
    <row r="47" spans="1:9">
      <c r="A47" s="337"/>
      <c r="B47" s="338" t="s">
        <v>314</v>
      </c>
      <c r="D47" s="1244" t="s">
        <v>320</v>
      </c>
      <c r="E47" s="1244"/>
      <c r="F47" s="1244"/>
      <c r="I47" s="1140"/>
    </row>
    <row r="48" spans="1:9">
      <c r="A48" s="337"/>
      <c r="B48" s="337"/>
      <c r="D48" s="1244"/>
      <c r="E48" s="1244"/>
      <c r="F48" s="1244"/>
      <c r="I48" s="1140"/>
    </row>
    <row r="49" spans="1:9">
      <c r="A49" s="337"/>
      <c r="B49" s="337"/>
      <c r="D49" s="1244"/>
      <c r="E49" s="1244"/>
      <c r="F49" s="1244"/>
      <c r="I49" s="1140"/>
    </row>
    <row r="50" spans="1:9" ht="23.25" customHeight="1">
      <c r="A50" s="337"/>
      <c r="B50" s="337"/>
      <c r="D50" s="1244"/>
      <c r="E50" s="1244"/>
      <c r="F50" s="1244"/>
      <c r="I50" s="1140"/>
    </row>
    <row r="51" spans="1:9">
      <c r="A51" s="337"/>
      <c r="B51" s="337"/>
      <c r="D51" s="1131"/>
      <c r="I51" s="1140"/>
    </row>
    <row r="52" spans="1:9" ht="14.5" customHeight="1">
      <c r="A52" s="337"/>
      <c r="B52" s="338" t="s">
        <v>314</v>
      </c>
      <c r="D52" s="1244" t="s">
        <v>321</v>
      </c>
      <c r="E52" s="1244"/>
      <c r="F52" s="1244"/>
      <c r="I52" s="1140"/>
    </row>
    <row r="53" spans="1:9">
      <c r="A53" s="337"/>
      <c r="B53" s="337"/>
      <c r="D53" s="1244"/>
      <c r="E53" s="1244"/>
      <c r="F53" s="1244"/>
      <c r="I53" s="1140"/>
    </row>
    <row r="54" spans="1:9">
      <c r="A54" s="337"/>
      <c r="B54" s="337"/>
      <c r="D54" s="1244"/>
      <c r="E54" s="1244"/>
      <c r="F54" s="1244"/>
      <c r="I54" s="1140"/>
    </row>
    <row r="55" spans="1:9">
      <c r="A55" s="337"/>
      <c r="B55" s="337"/>
      <c r="I55" s="1140"/>
    </row>
    <row r="56" spans="1:9">
      <c r="A56" s="337"/>
      <c r="B56" s="338" t="s">
        <v>309</v>
      </c>
      <c r="D56" s="1268" t="s">
        <v>322</v>
      </c>
      <c r="E56" s="1268"/>
      <c r="F56" s="1268"/>
      <c r="I56" s="1140"/>
    </row>
    <row r="57" spans="1:9">
      <c r="A57" s="337"/>
      <c r="B57" s="337"/>
      <c r="D57" s="1268"/>
      <c r="E57" s="1268"/>
      <c r="F57" s="1268"/>
      <c r="I57" s="1140"/>
    </row>
    <row r="58" spans="1:9">
      <c r="A58" s="337"/>
      <c r="B58" s="337"/>
      <c r="D58" s="1134" t="s">
        <v>323</v>
      </c>
      <c r="E58" s="1132"/>
      <c r="F58" s="1132"/>
      <c r="I58" s="1140"/>
    </row>
    <row r="59" spans="1:9">
      <c r="A59" s="337"/>
      <c r="B59" s="337"/>
      <c r="D59" s="1132"/>
      <c r="E59" s="1141" t="s">
        <v>311</v>
      </c>
      <c r="F59" s="1132"/>
      <c r="I59" s="1140"/>
    </row>
    <row r="60" spans="1:9">
      <c r="D60" s="1139"/>
      <c r="I60" s="1140"/>
    </row>
    <row r="61" spans="1:9">
      <c r="A61" s="337"/>
      <c r="B61" s="338" t="s">
        <v>314</v>
      </c>
      <c r="D61" s="1244" t="s">
        <v>324</v>
      </c>
      <c r="E61" s="1244"/>
      <c r="F61" s="1244"/>
      <c r="I61" s="1140"/>
    </row>
    <row r="62" spans="1:9">
      <c r="D62" s="1244"/>
      <c r="E62" s="1244"/>
      <c r="F62" s="1244"/>
      <c r="I62" s="1140"/>
    </row>
    <row r="63" spans="1:9">
      <c r="D63" s="1244"/>
      <c r="E63" s="1244"/>
      <c r="F63" s="1244"/>
      <c r="I63" s="1140"/>
    </row>
    <row r="64" spans="1:9">
      <c r="I64" s="1140"/>
    </row>
    <row r="65" spans="1:9">
      <c r="A65" s="337"/>
      <c r="B65" s="338" t="s">
        <v>314</v>
      </c>
      <c r="D65" s="1244" t="s">
        <v>325</v>
      </c>
      <c r="E65" s="1244"/>
      <c r="F65" s="1244"/>
      <c r="I65" s="1140"/>
    </row>
    <row r="66" spans="1:9">
      <c r="D66" s="1244"/>
      <c r="E66" s="1244"/>
      <c r="F66" s="1244"/>
      <c r="I66" s="1140"/>
    </row>
    <row r="67" spans="1:9">
      <c r="I67" s="1140"/>
    </row>
    <row r="68" spans="1:9">
      <c r="A68" s="337"/>
      <c r="B68" s="338" t="s">
        <v>309</v>
      </c>
      <c r="D68" s="1244" t="s">
        <v>326</v>
      </c>
      <c r="E68" s="1244"/>
      <c r="F68" s="1244"/>
      <c r="I68" s="1140"/>
    </row>
    <row r="69" spans="1:9">
      <c r="D69" s="1244"/>
      <c r="E69" s="1244"/>
      <c r="F69" s="1244"/>
      <c r="I69" s="1140"/>
    </row>
    <row r="70" spans="1:9">
      <c r="D70" s="1244"/>
      <c r="E70" s="1244"/>
      <c r="F70" s="1244"/>
      <c r="I70" s="1140"/>
    </row>
    <row r="71" spans="1:9">
      <c r="I71" s="1140"/>
    </row>
    <row r="72" spans="1:9">
      <c r="A72" s="337"/>
      <c r="B72" s="338" t="s">
        <v>309</v>
      </c>
      <c r="D72" s="1244" t="s">
        <v>327</v>
      </c>
      <c r="E72" s="1244"/>
      <c r="F72" s="1244"/>
      <c r="I72" s="1140"/>
    </row>
    <row r="73" spans="1:9">
      <c r="D73" s="1244"/>
      <c r="E73" s="1244"/>
      <c r="F73" s="1244"/>
      <c r="I73" s="1140"/>
    </row>
    <row r="74" spans="1:9">
      <c r="A74" s="337"/>
      <c r="B74" s="337"/>
      <c r="D74" s="1131"/>
      <c r="I74" s="1140"/>
    </row>
    <row r="75" spans="1:9">
      <c r="A75" s="1247" t="s">
        <v>328</v>
      </c>
      <c r="B75" s="1247"/>
      <c r="C75" s="1247"/>
      <c r="D75" s="1247"/>
      <c r="E75" s="1247"/>
      <c r="F75" s="1247"/>
      <c r="G75" s="1247"/>
      <c r="H75" s="815"/>
      <c r="I75" s="936"/>
    </row>
    <row r="76" spans="1:9">
      <c r="I76" s="1140"/>
    </row>
    <row r="77" spans="1:9">
      <c r="C77" s="339"/>
      <c r="D77" s="1246" t="s">
        <v>329</v>
      </c>
      <c r="E77" s="1246"/>
      <c r="F77" s="1246"/>
      <c r="I77" s="1140"/>
    </row>
    <row r="78" spans="1:9">
      <c r="A78" s="1131"/>
      <c r="B78" s="1131"/>
      <c r="D78" s="1244" t="s">
        <v>330</v>
      </c>
      <c r="E78" s="1244"/>
      <c r="F78" s="1244"/>
      <c r="I78" s="1140"/>
    </row>
    <row r="79" spans="1:9">
      <c r="A79" s="1131"/>
      <c r="B79" s="1131"/>
      <c r="I79" s="1140"/>
    </row>
    <row r="80" spans="1:9" ht="13.75" customHeight="1">
      <c r="A80" s="337"/>
      <c r="B80" s="338" t="s">
        <v>309</v>
      </c>
      <c r="D80" s="1244" t="s">
        <v>331</v>
      </c>
      <c r="E80" s="1244"/>
      <c r="F80" s="1244"/>
      <c r="I80" s="1140"/>
    </row>
    <row r="81" spans="1:9">
      <c r="A81" s="337"/>
      <c r="B81" s="337"/>
      <c r="D81" s="1244"/>
      <c r="E81" s="1244"/>
      <c r="F81" s="1244"/>
      <c r="I81" s="1140"/>
    </row>
    <row r="82" spans="1:9">
      <c r="A82" s="337"/>
      <c r="B82" s="337"/>
      <c r="D82" s="1244"/>
      <c r="E82" s="1244"/>
      <c r="F82" s="1244"/>
      <c r="I82" s="1140"/>
    </row>
    <row r="83" spans="1:9">
      <c r="A83" s="337"/>
      <c r="B83" s="337"/>
      <c r="D83" s="1244"/>
      <c r="E83" s="1244"/>
      <c r="F83" s="1244"/>
      <c r="I83" s="1140"/>
    </row>
    <row r="84" spans="1:9">
      <c r="A84" s="337"/>
      <c r="B84" s="337"/>
      <c r="D84" s="1244"/>
      <c r="E84" s="1244"/>
      <c r="F84" s="1244"/>
      <c r="I84" s="1140"/>
    </row>
    <row r="85" spans="1:9">
      <c r="A85" s="337"/>
      <c r="B85" s="337"/>
      <c r="D85" s="1244"/>
      <c r="E85" s="1244"/>
      <c r="F85" s="1244"/>
      <c r="I85" s="1140"/>
    </row>
    <row r="86" spans="1:9">
      <c r="A86" s="337"/>
      <c r="B86" s="337"/>
      <c r="D86" s="1244"/>
      <c r="E86" s="1244"/>
      <c r="F86" s="1244"/>
      <c r="I86" s="1140"/>
    </row>
    <row r="87" spans="1:9">
      <c r="A87" s="337"/>
      <c r="B87" s="337"/>
      <c r="D87" s="1244"/>
      <c r="E87" s="1244"/>
      <c r="F87" s="1244"/>
      <c r="I87" s="1140"/>
    </row>
    <row r="88" spans="1:9">
      <c r="A88" s="337"/>
      <c r="B88" s="337"/>
      <c r="D88" s="1138"/>
      <c r="E88" s="1138"/>
      <c r="F88" s="1138"/>
      <c r="I88" s="1140"/>
    </row>
    <row r="89" spans="1:9" ht="15" customHeight="1">
      <c r="A89" s="337"/>
      <c r="B89" s="338" t="s">
        <v>309</v>
      </c>
      <c r="D89" s="1244" t="s">
        <v>332</v>
      </c>
      <c r="E89" s="1244"/>
      <c r="F89" s="1244"/>
      <c r="I89" s="1140"/>
    </row>
    <row r="90" spans="1:9">
      <c r="A90" s="337"/>
      <c r="B90" s="337"/>
      <c r="D90" s="1244"/>
      <c r="E90" s="1244"/>
      <c r="F90" s="1244"/>
      <c r="I90" s="1140"/>
    </row>
    <row r="91" spans="1:9">
      <c r="A91" s="337"/>
      <c r="B91" s="337"/>
      <c r="D91" s="1132"/>
      <c r="E91" s="1132"/>
      <c r="F91" s="1132"/>
      <c r="I91" s="1140"/>
    </row>
    <row r="92" spans="1:9">
      <c r="A92" s="337"/>
      <c r="B92" s="338" t="s">
        <v>309</v>
      </c>
      <c r="D92" s="1244" t="s">
        <v>333</v>
      </c>
      <c r="E92" s="1244"/>
      <c r="F92" s="1244"/>
      <c r="I92" s="1140"/>
    </row>
    <row r="93" spans="1:9">
      <c r="A93" s="337"/>
      <c r="B93" s="337"/>
      <c r="D93" s="1244"/>
      <c r="E93" s="1244"/>
      <c r="F93" s="1244"/>
      <c r="I93" s="1140"/>
    </row>
    <row r="94" spans="1:9">
      <c r="A94" s="337"/>
      <c r="B94" s="337"/>
      <c r="D94" s="1244"/>
      <c r="E94" s="1244"/>
      <c r="F94" s="1244"/>
      <c r="I94" s="1140"/>
    </row>
    <row r="95" spans="1:9">
      <c r="A95" s="337"/>
      <c r="B95" s="337"/>
      <c r="D95" s="1132"/>
      <c r="E95" s="1132"/>
      <c r="F95" s="1132"/>
      <c r="I95" s="1140"/>
    </row>
    <row r="96" spans="1:9">
      <c r="A96" s="337"/>
      <c r="B96" s="338" t="s">
        <v>309</v>
      </c>
      <c r="D96" s="1244" t="s">
        <v>334</v>
      </c>
      <c r="E96" s="1244"/>
      <c r="F96" s="1244"/>
      <c r="I96" s="1140"/>
    </row>
    <row r="97" spans="1:9" s="783" customFormat="1">
      <c r="A97" s="781"/>
      <c r="B97" s="781"/>
      <c r="C97" s="782"/>
      <c r="D97" s="1244"/>
      <c r="E97" s="1244"/>
      <c r="F97" s="1244"/>
      <c r="I97" s="937"/>
    </row>
    <row r="98" spans="1:9">
      <c r="A98" s="337"/>
      <c r="B98" s="337"/>
      <c r="D98" s="1134"/>
      <c r="E98" s="1141" t="s">
        <v>335</v>
      </c>
      <c r="F98" s="1132"/>
      <c r="I98" s="1140"/>
    </row>
    <row r="99" spans="1:9">
      <c r="A99" s="337"/>
      <c r="B99" s="337"/>
      <c r="D99" s="1138"/>
      <c r="E99" s="1138"/>
      <c r="F99" s="1138"/>
      <c r="I99" s="1140"/>
    </row>
    <row r="100" spans="1:9">
      <c r="A100" s="337"/>
      <c r="B100" s="338" t="s">
        <v>314</v>
      </c>
      <c r="D100" s="1244" t="s">
        <v>336</v>
      </c>
      <c r="E100" s="1244"/>
      <c r="F100" s="1244"/>
      <c r="I100" s="1140"/>
    </row>
    <row r="101" spans="1:9">
      <c r="A101" s="337"/>
      <c r="B101" s="337"/>
      <c r="D101" s="1244"/>
      <c r="E101" s="1244"/>
      <c r="F101" s="1244"/>
      <c r="I101" s="1140"/>
    </row>
    <row r="102" spans="1:9">
      <c r="A102" s="337"/>
      <c r="B102" s="337"/>
      <c r="D102" s="1132"/>
      <c r="E102" s="1132"/>
      <c r="F102" s="1132"/>
      <c r="I102" s="1140"/>
    </row>
    <row r="103" spans="1:9" ht="14.5" customHeight="1">
      <c r="A103" s="337"/>
      <c r="B103" s="338" t="s">
        <v>314</v>
      </c>
      <c r="D103" s="1244" t="s">
        <v>337</v>
      </c>
      <c r="E103" s="1244"/>
      <c r="F103" s="1244"/>
      <c r="I103" s="1140"/>
    </row>
    <row r="104" spans="1:9">
      <c r="A104" s="337"/>
      <c r="B104" s="337"/>
      <c r="D104" s="1244"/>
      <c r="E104" s="1244"/>
      <c r="F104" s="1244"/>
      <c r="I104" s="1140"/>
    </row>
    <row r="105" spans="1:9">
      <c r="A105" s="337"/>
      <c r="B105" s="337"/>
      <c r="D105" s="1244"/>
      <c r="E105" s="1244"/>
      <c r="F105" s="1244"/>
      <c r="I105" s="1140"/>
    </row>
    <row r="106" spans="1:9">
      <c r="A106" s="337"/>
      <c r="B106" s="337"/>
      <c r="D106" s="1244"/>
      <c r="E106" s="1244"/>
      <c r="F106" s="1244"/>
      <c r="I106" s="1140"/>
    </row>
    <row r="107" spans="1:9">
      <c r="A107" s="337"/>
      <c r="B107" s="337"/>
      <c r="D107" s="1244"/>
      <c r="E107" s="1244"/>
      <c r="F107" s="1244"/>
      <c r="I107" s="1140"/>
    </row>
    <row r="108" spans="1:9">
      <c r="A108" s="337"/>
      <c r="B108" s="337"/>
      <c r="D108" s="1244"/>
      <c r="E108" s="1244"/>
      <c r="F108" s="1244"/>
      <c r="I108" s="1140"/>
    </row>
    <row r="109" spans="1:9">
      <c r="A109" s="337"/>
      <c r="B109" s="337"/>
      <c r="D109" s="1244"/>
      <c r="E109" s="1244"/>
      <c r="F109" s="1244"/>
      <c r="I109" s="1140"/>
    </row>
    <row r="110" spans="1:9">
      <c r="A110" s="337"/>
      <c r="B110" s="337"/>
      <c r="D110" s="1244"/>
      <c r="E110" s="1244"/>
      <c r="F110" s="1244"/>
      <c r="I110" s="1140"/>
    </row>
    <row r="111" spans="1:9">
      <c r="A111" s="337"/>
      <c r="B111" s="337"/>
      <c r="D111" s="1244"/>
      <c r="E111" s="1244"/>
      <c r="F111" s="1244"/>
      <c r="I111" s="1140"/>
    </row>
    <row r="112" spans="1:9">
      <c r="A112" s="337"/>
      <c r="B112" s="337"/>
      <c r="D112" s="1244"/>
      <c r="E112" s="1244"/>
      <c r="F112" s="1244"/>
      <c r="I112" s="1140"/>
    </row>
    <row r="113" spans="1:9">
      <c r="A113" s="337"/>
      <c r="B113" s="337"/>
      <c r="D113" s="1244"/>
      <c r="E113" s="1244"/>
      <c r="F113" s="1244"/>
      <c r="I113" s="1140"/>
    </row>
    <row r="114" spans="1:9">
      <c r="A114" s="337"/>
      <c r="B114" s="337"/>
      <c r="D114" s="1244"/>
      <c r="E114" s="1244"/>
      <c r="F114" s="1244"/>
      <c r="I114" s="1140"/>
    </row>
    <row r="115" spans="1:9">
      <c r="A115" s="337"/>
      <c r="B115" s="337"/>
      <c r="D115" s="1244"/>
      <c r="E115" s="1244"/>
      <c r="F115" s="1244"/>
      <c r="I115" s="1140"/>
    </row>
    <row r="116" spans="1:9">
      <c r="A116" s="337"/>
      <c r="B116" s="337"/>
      <c r="D116" s="1244"/>
      <c r="E116" s="1244"/>
      <c r="F116" s="1244"/>
      <c r="I116" s="1140"/>
    </row>
    <row r="117" spans="1:9">
      <c r="A117" s="337"/>
      <c r="B117" s="337"/>
      <c r="D117" s="1244"/>
      <c r="E117" s="1244"/>
      <c r="F117" s="1244"/>
      <c r="I117" s="1140"/>
    </row>
    <row r="118" spans="1:9">
      <c r="A118" s="337"/>
      <c r="B118" s="337"/>
      <c r="D118" s="1120"/>
      <c r="E118" s="1120"/>
      <c r="F118" s="1120"/>
      <c r="I118" s="1140"/>
    </row>
    <row r="119" spans="1:9" ht="14.25" customHeight="1">
      <c r="A119" s="337"/>
      <c r="B119" s="338" t="s">
        <v>314</v>
      </c>
      <c r="D119" s="1264" t="s">
        <v>338</v>
      </c>
      <c r="E119" s="1264"/>
      <c r="F119" s="1264"/>
      <c r="I119" s="1140"/>
    </row>
    <row r="120" spans="1:9">
      <c r="A120" s="337"/>
      <c r="B120" s="337"/>
      <c r="D120" s="1264"/>
      <c r="E120" s="1264"/>
      <c r="F120" s="1264"/>
      <c r="I120" s="1140"/>
    </row>
    <row r="121" spans="1:9">
      <c r="A121" s="337"/>
      <c r="B121" s="337"/>
      <c r="D121" s="1264"/>
      <c r="E121" s="1264"/>
      <c r="F121" s="1264"/>
      <c r="I121" s="1140"/>
    </row>
    <row r="122" spans="1:9">
      <c r="A122" s="337"/>
      <c r="B122" s="337"/>
      <c r="D122" s="1264"/>
      <c r="E122" s="1264"/>
      <c r="F122" s="1264"/>
      <c r="I122" s="1140"/>
    </row>
    <row r="123" spans="1:9">
      <c r="A123" s="337"/>
      <c r="B123" s="337"/>
      <c r="D123" s="1264"/>
      <c r="E123" s="1264"/>
      <c r="F123" s="1264"/>
      <c r="I123" s="1140"/>
    </row>
    <row r="124" spans="1:9">
      <c r="A124" s="337"/>
      <c r="B124" s="337"/>
      <c r="D124" s="1264"/>
      <c r="E124" s="1264"/>
      <c r="F124" s="1264"/>
      <c r="I124" s="1140"/>
    </row>
    <row r="125" spans="1:9">
      <c r="A125" s="337"/>
      <c r="B125" s="337"/>
      <c r="D125" s="1264"/>
      <c r="E125" s="1264"/>
      <c r="F125" s="1264"/>
      <c r="I125" s="1140"/>
    </row>
    <row r="126" spans="1:9">
      <c r="A126" s="337"/>
      <c r="B126" s="337"/>
      <c r="D126" s="1264"/>
      <c r="E126" s="1264"/>
      <c r="F126" s="1264"/>
      <c r="I126" s="1140"/>
    </row>
    <row r="127" spans="1:9">
      <c r="C127" s="272"/>
      <c r="D127" s="374"/>
      <c r="E127" s="374"/>
      <c r="F127" s="374"/>
      <c r="I127" s="1140"/>
    </row>
    <row r="128" spans="1:9">
      <c r="A128" s="337"/>
      <c r="B128" s="338" t="s">
        <v>309</v>
      </c>
      <c r="C128" s="272"/>
      <c r="D128" s="1264" t="s">
        <v>339</v>
      </c>
      <c r="E128" s="1264"/>
      <c r="F128" s="1264"/>
      <c r="I128" s="1140"/>
    </row>
    <row r="129" spans="1:9">
      <c r="A129" s="337"/>
      <c r="B129" s="337"/>
      <c r="C129" s="272"/>
      <c r="D129" s="1264"/>
      <c r="E129" s="1264"/>
      <c r="F129" s="1264"/>
      <c r="I129" s="1140"/>
    </row>
    <row r="130" spans="1:9">
      <c r="I130" s="1140"/>
    </row>
    <row r="131" spans="1:9">
      <c r="A131" s="337"/>
      <c r="B131" s="338" t="s">
        <v>309</v>
      </c>
      <c r="D131" s="1244" t="s">
        <v>340</v>
      </c>
      <c r="E131" s="1244"/>
      <c r="F131" s="1244"/>
      <c r="I131" s="1140"/>
    </row>
    <row r="132" spans="1:9">
      <c r="D132" s="1244"/>
      <c r="E132" s="1244"/>
      <c r="F132" s="1244"/>
      <c r="I132" s="1140"/>
    </row>
    <row r="133" spans="1:9">
      <c r="D133" s="1244"/>
      <c r="E133" s="1244"/>
      <c r="F133" s="1244"/>
      <c r="I133" s="1140"/>
    </row>
    <row r="134" spans="1:9">
      <c r="D134" s="1244"/>
      <c r="E134" s="1244"/>
      <c r="F134" s="1244"/>
      <c r="I134" s="1140"/>
    </row>
    <row r="135" spans="1:9">
      <c r="D135" s="1244"/>
      <c r="E135" s="1244"/>
      <c r="F135" s="1244"/>
      <c r="I135" s="1140"/>
    </row>
    <row r="136" spans="1:9">
      <c r="I136" s="1140"/>
    </row>
    <row r="137" spans="1:9">
      <c r="A137" s="337"/>
      <c r="B137" s="338" t="s">
        <v>309</v>
      </c>
      <c r="D137" s="1244" t="s">
        <v>341</v>
      </c>
      <c r="E137" s="1244"/>
      <c r="F137" s="1244"/>
      <c r="I137" s="1140"/>
    </row>
    <row r="138" spans="1:9" s="286" customFormat="1" ht="13.75" customHeight="1">
      <c r="A138" s="341"/>
      <c r="B138" s="341"/>
      <c r="C138" s="341"/>
      <c r="D138" s="1244"/>
      <c r="E138" s="1244"/>
      <c r="F138" s="1244"/>
      <c r="I138" s="938"/>
    </row>
    <row r="139" spans="1:9" ht="13.75" customHeight="1">
      <c r="D139" s="1244"/>
      <c r="E139" s="1244"/>
      <c r="F139" s="1244"/>
      <c r="I139" s="1140"/>
    </row>
    <row r="140" spans="1:9" ht="13.75" customHeight="1">
      <c r="D140" s="1244"/>
      <c r="E140" s="1244"/>
      <c r="F140" s="1244"/>
      <c r="I140" s="1140"/>
    </row>
    <row r="141" spans="1:9" ht="13.75" customHeight="1">
      <c r="D141" s="1244"/>
      <c r="E141" s="1244"/>
      <c r="F141" s="1244"/>
      <c r="I141" s="1140"/>
    </row>
    <row r="142" spans="1:9" ht="13.75" customHeight="1">
      <c r="A142" s="342"/>
      <c r="B142" s="342"/>
      <c r="D142" s="1244"/>
      <c r="E142" s="1244"/>
      <c r="F142" s="1244"/>
      <c r="I142" s="1140"/>
    </row>
    <row r="143" spans="1:9" ht="13.75" customHeight="1">
      <c r="D143" s="1244"/>
      <c r="E143" s="1244"/>
      <c r="F143" s="1244"/>
      <c r="I143" s="1140"/>
    </row>
    <row r="144" spans="1:9" ht="13.75" customHeight="1">
      <c r="D144" s="1244"/>
      <c r="E144" s="1244"/>
      <c r="F144" s="1244"/>
      <c r="I144" s="1140"/>
    </row>
    <row r="145" spans="2:9" ht="13.75" customHeight="1">
      <c r="D145" s="1244"/>
      <c r="E145" s="1244"/>
      <c r="F145" s="1244"/>
      <c r="I145" s="1140"/>
    </row>
    <row r="146" spans="2:9" ht="13.75" customHeight="1">
      <c r="D146" s="1244"/>
      <c r="E146" s="1244"/>
      <c r="F146" s="1244"/>
      <c r="I146" s="1140"/>
    </row>
    <row r="147" spans="2:9" ht="13.75" customHeight="1">
      <c r="D147" s="1244"/>
      <c r="E147" s="1244"/>
      <c r="F147" s="1244"/>
      <c r="I147" s="1140"/>
    </row>
    <row r="148" spans="2:9" ht="13.75" customHeight="1">
      <c r="D148" s="1244"/>
      <c r="E148" s="1244"/>
      <c r="F148" s="1244"/>
      <c r="I148" s="1140"/>
    </row>
    <row r="149" spans="2:9" ht="13.75" customHeight="1">
      <c r="D149" s="1244"/>
      <c r="E149" s="1244"/>
      <c r="F149" s="1244"/>
      <c r="I149" s="1140"/>
    </row>
    <row r="150" spans="2:9" ht="13.75" customHeight="1">
      <c r="D150" s="332"/>
      <c r="E150" s="1131"/>
      <c r="F150" s="1131"/>
      <c r="I150" s="1140"/>
    </row>
    <row r="151" spans="2:9" ht="13.75" customHeight="1">
      <c r="B151" s="338" t="s">
        <v>314</v>
      </c>
      <c r="D151" s="1244" t="s">
        <v>342</v>
      </c>
      <c r="E151" s="1244"/>
      <c r="F151" s="1244"/>
      <c r="I151" s="1140"/>
    </row>
    <row r="152" spans="2:9" ht="13.75" customHeight="1">
      <c r="D152" s="1244"/>
      <c r="E152" s="1244"/>
      <c r="F152" s="1244"/>
      <c r="I152" s="1140"/>
    </row>
    <row r="153" spans="2:9" ht="13.75" customHeight="1">
      <c r="D153" s="1244"/>
      <c r="E153" s="1244"/>
      <c r="F153" s="1244"/>
      <c r="I153" s="1140"/>
    </row>
    <row r="154" spans="2:9" ht="13.75" customHeight="1">
      <c r="D154" s="1244"/>
      <c r="E154" s="1244"/>
      <c r="F154" s="1244"/>
      <c r="I154" s="1140"/>
    </row>
    <row r="155" spans="2:9" ht="13.75" customHeight="1">
      <c r="D155" s="1244"/>
      <c r="E155" s="1244"/>
      <c r="F155" s="1244"/>
      <c r="I155" s="1140"/>
    </row>
    <row r="156" spans="2:9" ht="13.75" customHeight="1">
      <c r="D156" s="1244"/>
      <c r="E156" s="1244"/>
      <c r="F156" s="1244"/>
      <c r="I156" s="1140"/>
    </row>
    <row r="157" spans="2:9" ht="13.75" customHeight="1">
      <c r="D157" s="1244"/>
      <c r="E157" s="1244"/>
      <c r="F157" s="1244"/>
      <c r="I157" s="1140"/>
    </row>
    <row r="158" spans="2:9" ht="13.75" customHeight="1">
      <c r="D158" s="1244"/>
      <c r="E158" s="1244"/>
      <c r="F158" s="1244"/>
      <c r="I158" s="1140"/>
    </row>
    <row r="159" spans="2:9" ht="13.75" customHeight="1">
      <c r="D159" s="1244"/>
      <c r="E159" s="1244"/>
      <c r="F159" s="1244"/>
      <c r="I159" s="1140"/>
    </row>
    <row r="160" spans="2:9" ht="13.75" customHeight="1">
      <c r="D160" s="1244"/>
      <c r="E160" s="1244"/>
      <c r="F160" s="1244"/>
      <c r="I160" s="1140"/>
    </row>
    <row r="161" spans="1:9" ht="13.75" customHeight="1">
      <c r="D161" s="1244"/>
      <c r="E161" s="1244"/>
      <c r="F161" s="1244"/>
      <c r="I161" s="1140"/>
    </row>
    <row r="162" spans="1:9" ht="13.75" customHeight="1">
      <c r="D162" s="1244"/>
      <c r="E162" s="1244"/>
      <c r="F162" s="1244"/>
      <c r="I162" s="1140"/>
    </row>
    <row r="163" spans="1:9" ht="13.75" customHeight="1">
      <c r="D163" s="1244"/>
      <c r="E163" s="1244"/>
      <c r="F163" s="1244"/>
      <c r="I163" s="1140"/>
    </row>
    <row r="164" spans="1:9" ht="13.75" customHeight="1">
      <c r="D164" s="1244"/>
      <c r="E164" s="1244"/>
      <c r="F164" s="1244"/>
      <c r="I164" s="1140"/>
    </row>
    <row r="165" spans="1:9" ht="13.75" customHeight="1">
      <c r="D165" s="1244"/>
      <c r="E165" s="1244"/>
      <c r="F165" s="1244"/>
      <c r="I165" s="1140"/>
    </row>
    <row r="166" spans="1:9" ht="13.75" customHeight="1">
      <c r="D166" s="1244"/>
      <c r="E166" s="1244"/>
      <c r="F166" s="1244"/>
      <c r="I166" s="1140"/>
    </row>
    <row r="167" spans="1:9" ht="13.75" customHeight="1">
      <c r="D167" s="1244"/>
      <c r="E167" s="1244"/>
      <c r="F167" s="1244"/>
      <c r="I167" s="1140"/>
    </row>
    <row r="168" spans="1:9" ht="13.75" customHeight="1">
      <c r="D168" s="1244"/>
      <c r="E168" s="1244"/>
      <c r="F168" s="1244"/>
      <c r="I168" s="1140"/>
    </row>
    <row r="169" spans="1:9" ht="13.75" customHeight="1">
      <c r="D169" s="1265" t="s">
        <v>343</v>
      </c>
      <c r="E169" s="1265"/>
      <c r="F169" s="1265"/>
      <c r="G169" s="359"/>
      <c r="I169" s="1140"/>
    </row>
    <row r="170" spans="1:9" ht="13.75" customHeight="1">
      <c r="D170" s="1256"/>
      <c r="E170" s="1256"/>
      <c r="F170" s="1256"/>
      <c r="G170" s="1256"/>
      <c r="I170" s="1140"/>
    </row>
    <row r="171" spans="1:9" ht="14.5" customHeight="1">
      <c r="A171" s="342"/>
      <c r="B171" s="338" t="s">
        <v>314</v>
      </c>
      <c r="C171" s="332"/>
      <c r="D171" s="1224" t="s">
        <v>344</v>
      </c>
      <c r="E171" s="1224"/>
      <c r="F171" s="1224"/>
      <c r="G171" s="332"/>
      <c r="I171" s="1140"/>
    </row>
    <row r="172" spans="1:9" ht="14.5" customHeight="1">
      <c r="A172" s="342"/>
      <c r="B172" s="342"/>
      <c r="C172" s="332"/>
      <c r="D172" s="1224"/>
      <c r="E172" s="1224"/>
      <c r="F172" s="1224"/>
      <c r="G172" s="332"/>
      <c r="I172" s="1140"/>
    </row>
    <row r="173" spans="1:9" ht="14.5" customHeight="1">
      <c r="A173" s="342"/>
      <c r="B173" s="342"/>
      <c r="C173" s="332"/>
      <c r="D173" s="1224"/>
      <c r="E173" s="1224"/>
      <c r="F173" s="1224"/>
      <c r="G173" s="332"/>
      <c r="I173" s="1140"/>
    </row>
    <row r="174" spans="1:9" ht="14.5" customHeight="1">
      <c r="A174" s="342"/>
      <c r="B174" s="342"/>
      <c r="C174" s="332"/>
      <c r="D174" s="1224"/>
      <c r="E174" s="1224"/>
      <c r="F174" s="1224"/>
      <c r="G174" s="332"/>
      <c r="I174" s="1140"/>
    </row>
    <row r="175" spans="1:9" ht="13.75" customHeight="1">
      <c r="A175" s="342"/>
      <c r="B175" s="342"/>
      <c r="C175" s="332"/>
      <c r="D175" s="1224"/>
      <c r="E175" s="1224"/>
      <c r="F175" s="1224"/>
      <c r="G175" s="332"/>
      <c r="I175" s="1140"/>
    </row>
    <row r="176" spans="1:9" ht="13.75" customHeight="1">
      <c r="A176" s="342"/>
      <c r="B176" s="342"/>
      <c r="C176" s="332"/>
      <c r="D176" s="332"/>
      <c r="E176" s="332"/>
      <c r="F176" s="332"/>
      <c r="G176" s="332"/>
      <c r="I176" s="1140"/>
    </row>
    <row r="177" spans="1:9" ht="13.75" customHeight="1">
      <c r="A177" s="342"/>
      <c r="B177" s="338" t="s">
        <v>314</v>
      </c>
      <c r="C177" s="332"/>
      <c r="D177" s="1224" t="s">
        <v>345</v>
      </c>
      <c r="E177" s="1224"/>
      <c r="F177" s="1224"/>
      <c r="G177" s="332"/>
      <c r="I177" s="1140"/>
    </row>
    <row r="178" spans="1:9" ht="13.75" customHeight="1">
      <c r="A178" s="342"/>
      <c r="B178" s="342"/>
      <c r="C178" s="332"/>
      <c r="D178" s="1224"/>
      <c r="E178" s="1224"/>
      <c r="F178" s="1224"/>
      <c r="G178" s="332"/>
      <c r="I178" s="1140"/>
    </row>
    <row r="179" spans="1:9" ht="13.75" customHeight="1">
      <c r="A179" s="342"/>
      <c r="B179" s="342"/>
      <c r="C179" s="332"/>
      <c r="D179" s="1224"/>
      <c r="E179" s="1224"/>
      <c r="F179" s="1224"/>
      <c r="G179" s="332"/>
      <c r="I179" s="1140"/>
    </row>
    <row r="180" spans="1:9" ht="13.75" customHeight="1">
      <c r="A180" s="342"/>
      <c r="B180" s="342"/>
      <c r="C180" s="332"/>
      <c r="D180" s="1224"/>
      <c r="E180" s="1224"/>
      <c r="F180" s="1224"/>
      <c r="G180" s="332"/>
      <c r="I180" s="1140"/>
    </row>
    <row r="181" spans="1:9" ht="13.75" customHeight="1">
      <c r="D181" s="1131"/>
      <c r="E181" s="1131"/>
      <c r="F181" s="1131"/>
      <c r="I181" s="1140"/>
    </row>
    <row r="182" spans="1:9" ht="13.75" customHeight="1">
      <c r="B182" s="338" t="s">
        <v>314</v>
      </c>
      <c r="D182" s="1248" t="s">
        <v>346</v>
      </c>
      <c r="E182" s="1248"/>
      <c r="F182" s="1248"/>
      <c r="I182" s="1140"/>
    </row>
    <row r="183" spans="1:9" ht="13.75" customHeight="1">
      <c r="D183" s="1248"/>
      <c r="E183" s="1248"/>
      <c r="F183" s="1248"/>
      <c r="I183" s="1140"/>
    </row>
    <row r="184" spans="1:9" ht="13.75" customHeight="1">
      <c r="D184" s="1248"/>
      <c r="E184" s="1248"/>
      <c r="F184" s="1248"/>
      <c r="I184" s="1140"/>
    </row>
    <row r="185" spans="1:9" ht="13.75" customHeight="1">
      <c r="A185" s="1140"/>
      <c r="B185" s="1140"/>
      <c r="E185" s="1131"/>
      <c r="F185" s="1131"/>
      <c r="I185" s="1140"/>
    </row>
    <row r="186" spans="1:9">
      <c r="A186" s="1247" t="s">
        <v>347</v>
      </c>
      <c r="B186" s="1247"/>
      <c r="C186" s="1247"/>
      <c r="D186" s="1247"/>
      <c r="E186" s="1247"/>
      <c r="F186" s="1247"/>
      <c r="G186" s="1247"/>
      <c r="H186" s="815"/>
      <c r="I186" s="936"/>
    </row>
    <row r="187" spans="1:9" ht="12" customHeight="1">
      <c r="D187" s="1131"/>
      <c r="E187" s="1131"/>
      <c r="F187" s="1131"/>
      <c r="I187" s="1140"/>
    </row>
    <row r="188" spans="1:9">
      <c r="B188" s="1250" t="s">
        <v>348</v>
      </c>
      <c r="C188" s="1250"/>
      <c r="D188" s="1250"/>
      <c r="E188" s="1250"/>
      <c r="F188" s="1250"/>
      <c r="I188" s="1140"/>
    </row>
    <row r="189" spans="1:9">
      <c r="B189" s="1134" t="s">
        <v>349</v>
      </c>
      <c r="C189" s="1134"/>
      <c r="D189" s="1134"/>
      <c r="E189" s="1134"/>
      <c r="F189" s="1134"/>
      <c r="I189" s="1140"/>
    </row>
    <row r="190" spans="1:9" ht="12" customHeight="1">
      <c r="A190" s="1143"/>
      <c r="B190" s="1143"/>
      <c r="C190" s="1143"/>
      <c r="I190" s="1140"/>
    </row>
    <row r="191" spans="1:9">
      <c r="A191" s="1247" t="s">
        <v>350</v>
      </c>
      <c r="B191" s="1247"/>
      <c r="C191" s="1247"/>
      <c r="D191" s="1247"/>
      <c r="E191" s="1247"/>
      <c r="F191" s="1247"/>
      <c r="G191" s="1247"/>
      <c r="H191" s="815"/>
      <c r="I191" s="936"/>
    </row>
    <row r="192" spans="1:9" ht="12" customHeight="1">
      <c r="A192" s="274"/>
      <c r="B192" s="274"/>
      <c r="E192" s="274"/>
      <c r="I192" s="1140"/>
    </row>
    <row r="193" spans="1:9" ht="13.75" customHeight="1">
      <c r="A193" s="274"/>
      <c r="B193" s="274"/>
      <c r="D193" s="1246" t="s">
        <v>351</v>
      </c>
      <c r="E193" s="1246"/>
      <c r="F193" s="1246"/>
      <c r="I193" s="1140"/>
    </row>
    <row r="194" spans="1:9">
      <c r="A194" s="274"/>
      <c r="B194" s="274"/>
      <c r="D194" s="1246"/>
      <c r="E194" s="1246"/>
      <c r="F194" s="1246"/>
      <c r="I194" s="1140"/>
    </row>
    <row r="195" spans="1:9">
      <c r="A195" s="274"/>
      <c r="B195" s="274"/>
      <c r="D195" s="1250" t="s">
        <v>352</v>
      </c>
      <c r="E195" s="1250"/>
      <c r="F195" s="1250"/>
      <c r="I195" s="1140"/>
    </row>
    <row r="196" spans="1:9">
      <c r="A196" s="274"/>
      <c r="B196" s="274"/>
      <c r="D196" s="1134"/>
      <c r="E196" s="1134"/>
      <c r="F196" s="1134"/>
      <c r="I196" s="1140"/>
    </row>
    <row r="197" spans="1:9">
      <c r="A197" s="274"/>
      <c r="B197" s="338" t="s">
        <v>309</v>
      </c>
      <c r="D197" s="1261" t="s">
        <v>353</v>
      </c>
      <c r="E197" s="1261"/>
      <c r="F197" s="1261"/>
      <c r="I197" s="1140"/>
    </row>
    <row r="198" spans="1:9">
      <c r="A198" s="274"/>
      <c r="B198" s="274"/>
      <c r="D198" s="1262" t="s">
        <v>354</v>
      </c>
      <c r="E198" s="1262"/>
      <c r="F198" s="1262"/>
      <c r="I198" s="1140"/>
    </row>
    <row r="199" spans="1:9">
      <c r="A199" s="274"/>
      <c r="B199" s="274"/>
      <c r="D199" s="55" t="s">
        <v>355</v>
      </c>
      <c r="E199" s="1263" t="s">
        <v>356</v>
      </c>
      <c r="F199" s="1263"/>
      <c r="I199" s="1140"/>
    </row>
    <row r="200" spans="1:9">
      <c r="A200" s="274"/>
      <c r="B200" s="274"/>
      <c r="D200" s="2"/>
      <c r="E200" s="2"/>
      <c r="F200" s="2"/>
      <c r="I200" s="1140"/>
    </row>
    <row r="201" spans="1:9">
      <c r="A201" s="274"/>
      <c r="B201" s="338" t="s">
        <v>314</v>
      </c>
      <c r="D201" s="1262" t="s">
        <v>357</v>
      </c>
      <c r="E201" s="1262"/>
      <c r="F201" s="1262"/>
      <c r="I201" s="1140"/>
    </row>
    <row r="202" spans="1:9">
      <c r="A202" s="274"/>
      <c r="B202" s="274"/>
      <c r="D202" s="1261" t="s">
        <v>354</v>
      </c>
      <c r="E202" s="1261"/>
      <c r="F202" s="1261"/>
      <c r="I202" s="1140"/>
    </row>
    <row r="203" spans="1:9">
      <c r="A203" s="274"/>
      <c r="B203" s="274"/>
      <c r="D203" s="38" t="s">
        <v>358</v>
      </c>
      <c r="E203" s="1263" t="s">
        <v>359</v>
      </c>
      <c r="F203" s="1263"/>
      <c r="I203" s="1140"/>
    </row>
    <row r="204" spans="1:9">
      <c r="A204" s="274"/>
      <c r="B204" s="274"/>
      <c r="D204" s="2"/>
      <c r="E204" s="2"/>
      <c r="F204" s="2"/>
      <c r="I204" s="1140"/>
    </row>
    <row r="205" spans="1:9">
      <c r="A205" s="274"/>
      <c r="B205" s="338" t="s">
        <v>314</v>
      </c>
      <c r="D205" s="1262" t="s">
        <v>360</v>
      </c>
      <c r="E205" s="1262"/>
      <c r="F205" s="1262"/>
      <c r="I205" s="1140"/>
    </row>
    <row r="206" spans="1:9">
      <c r="A206" s="274"/>
      <c r="B206" s="274"/>
      <c r="D206" s="1261" t="s">
        <v>354</v>
      </c>
      <c r="E206" s="1261"/>
      <c r="F206" s="1261"/>
      <c r="I206" s="1140"/>
    </row>
    <row r="207" spans="1:9">
      <c r="A207" s="274"/>
      <c r="B207" s="274"/>
      <c r="D207" s="38" t="s">
        <v>355</v>
      </c>
      <c r="E207" s="1263" t="s">
        <v>361</v>
      </c>
      <c r="F207" s="1263"/>
      <c r="I207" s="1140"/>
    </row>
    <row r="208" spans="1:9">
      <c r="A208" s="274"/>
      <c r="B208" s="274"/>
      <c r="D208" s="1134"/>
      <c r="E208" s="1134"/>
      <c r="F208" s="1134"/>
      <c r="I208" s="1140"/>
    </row>
    <row r="209" spans="1:9" ht="14.25" customHeight="1">
      <c r="A209" s="337"/>
      <c r="B209" s="338" t="s">
        <v>314</v>
      </c>
      <c r="D209" s="258" t="s">
        <v>362</v>
      </c>
      <c r="E209" s="1138"/>
      <c r="F209" s="1138"/>
      <c r="I209" s="1140"/>
    </row>
    <row r="210" spans="1:9">
      <c r="A210" s="337"/>
      <c r="B210" s="337"/>
      <c r="D210" s="1261" t="s">
        <v>354</v>
      </c>
      <c r="E210" s="1261"/>
      <c r="F210" s="1261"/>
      <c r="I210" s="1140"/>
    </row>
    <row r="211" spans="1:9">
      <c r="D211" s="1138"/>
      <c r="E211" s="1263" t="s">
        <v>363</v>
      </c>
      <c r="F211" s="1263"/>
      <c r="I211" s="1140"/>
    </row>
    <row r="212" spans="1:9">
      <c r="D212" s="1139"/>
      <c r="I212" s="1140"/>
    </row>
    <row r="213" spans="1:9">
      <c r="B213" s="338" t="s">
        <v>314</v>
      </c>
      <c r="D213" s="1262" t="s">
        <v>364</v>
      </c>
      <c r="E213" s="1262"/>
      <c r="F213" s="1262"/>
      <c r="I213" s="1140"/>
    </row>
    <row r="214" spans="1:9">
      <c r="D214" s="1261" t="s">
        <v>354</v>
      </c>
      <c r="E214" s="1261"/>
      <c r="F214" s="1261"/>
      <c r="I214" s="1140"/>
    </row>
    <row r="215" spans="1:9">
      <c r="D215" s="38" t="s">
        <v>355</v>
      </c>
      <c r="E215" s="1263" t="s">
        <v>365</v>
      </c>
      <c r="F215" s="1263"/>
      <c r="I215" s="1140"/>
    </row>
    <row r="216" spans="1:9">
      <c r="D216" s="1117"/>
      <c r="E216" s="1117"/>
      <c r="F216" s="1117"/>
      <c r="I216" s="1140"/>
    </row>
    <row r="217" spans="1:9">
      <c r="A217" s="337"/>
      <c r="B217" s="338" t="s">
        <v>314</v>
      </c>
      <c r="D217" s="1244" t="s">
        <v>366</v>
      </c>
      <c r="E217" s="1244"/>
      <c r="F217" s="1244"/>
      <c r="I217" s="1140"/>
    </row>
    <row r="218" spans="1:9" ht="14.5" customHeight="1">
      <c r="A218" s="337"/>
      <c r="B218" s="272"/>
      <c r="D218" s="1244"/>
      <c r="E218" s="1244"/>
      <c r="F218" s="1244"/>
      <c r="I218" s="1140"/>
    </row>
    <row r="219" spans="1:9">
      <c r="A219" s="337"/>
      <c r="D219" s="1244"/>
      <c r="E219" s="1244"/>
      <c r="F219" s="1244"/>
      <c r="I219" s="1140"/>
    </row>
    <row r="220" spans="1:9">
      <c r="A220" s="337"/>
      <c r="D220" s="1244"/>
      <c r="E220" s="1244"/>
      <c r="F220" s="1244"/>
      <c r="I220" s="1140"/>
    </row>
    <row r="221" spans="1:9">
      <c r="D221" s="1117"/>
      <c r="E221" s="1117"/>
      <c r="F221" s="1117"/>
      <c r="I221" s="1140"/>
    </row>
    <row r="222" spans="1:9">
      <c r="A222" s="1247" t="s">
        <v>367</v>
      </c>
      <c r="B222" s="1247"/>
      <c r="C222" s="1247"/>
      <c r="D222" s="1247"/>
      <c r="E222" s="1247"/>
      <c r="F222" s="1247"/>
      <c r="G222" s="1247"/>
      <c r="H222" s="815"/>
      <c r="I222" s="936"/>
    </row>
    <row r="223" spans="1:9" ht="12" customHeight="1">
      <c r="D223" s="1131"/>
      <c r="E223" s="1131"/>
      <c r="F223" s="1131"/>
      <c r="I223" s="1140"/>
    </row>
    <row r="224" spans="1:9">
      <c r="C224" s="339"/>
      <c r="D224" s="1252" t="s">
        <v>368</v>
      </c>
      <c r="E224" s="1252"/>
      <c r="F224" s="1252"/>
      <c r="I224" s="1140"/>
    </row>
    <row r="225" spans="1:9">
      <c r="A225" s="1143"/>
      <c r="B225" s="1143"/>
      <c r="C225" s="1143"/>
      <c r="D225" s="1245" t="s">
        <v>369</v>
      </c>
      <c r="E225" s="1245"/>
      <c r="F225" s="1245"/>
      <c r="I225" s="1140"/>
    </row>
    <row r="226" spans="1:9" ht="12" customHeight="1">
      <c r="A226" s="1140"/>
      <c r="B226" s="1140"/>
      <c r="C226" s="1140"/>
      <c r="I226" s="1140"/>
    </row>
    <row r="227" spans="1:9" ht="13.75" customHeight="1">
      <c r="A227" s="1140"/>
      <c r="C227" s="1140"/>
      <c r="D227" s="1252" t="s">
        <v>370</v>
      </c>
      <c r="E227" s="1252"/>
      <c r="F227" s="1252"/>
      <c r="I227" s="1140"/>
    </row>
    <row r="228" spans="1:9">
      <c r="A228" s="337"/>
      <c r="B228" s="338" t="s">
        <v>309</v>
      </c>
      <c r="D228" s="1244" t="s">
        <v>371</v>
      </c>
      <c r="E228" s="1244"/>
      <c r="F228" s="1244"/>
      <c r="I228" s="1140"/>
    </row>
    <row r="229" spans="1:9" ht="14.25" customHeight="1">
      <c r="A229" s="337"/>
      <c r="B229" s="337"/>
      <c r="D229" s="1244"/>
      <c r="E229" s="1244"/>
      <c r="F229" s="1244"/>
      <c r="I229" s="1140"/>
    </row>
    <row r="230" spans="1:9" ht="14.25" customHeight="1">
      <c r="A230" s="337"/>
      <c r="B230" s="337"/>
      <c r="D230" s="1244"/>
      <c r="E230" s="1244"/>
      <c r="F230" s="1244"/>
      <c r="I230" s="1140"/>
    </row>
    <row r="231" spans="1:9">
      <c r="A231" s="337"/>
      <c r="B231" s="337"/>
      <c r="D231" s="1244"/>
      <c r="E231" s="1244"/>
      <c r="F231" s="1244"/>
      <c r="I231" s="1140"/>
    </row>
    <row r="232" spans="1:9">
      <c r="A232" s="337"/>
      <c r="B232" s="337"/>
      <c r="D232" s="1132"/>
      <c r="E232" s="1132"/>
      <c r="F232" s="1132"/>
      <c r="I232" s="1140"/>
    </row>
    <row r="233" spans="1:9">
      <c r="A233" s="337"/>
      <c r="B233" s="338" t="s">
        <v>309</v>
      </c>
      <c r="D233" s="1244" t="s">
        <v>372</v>
      </c>
      <c r="E233" s="1244"/>
      <c r="F233" s="1244"/>
      <c r="I233" s="1140"/>
    </row>
    <row r="234" spans="1:9">
      <c r="A234" s="337"/>
      <c r="B234" s="337"/>
      <c r="D234" s="1244"/>
      <c r="E234" s="1244"/>
      <c r="F234" s="1244"/>
      <c r="I234" s="1140"/>
    </row>
    <row r="235" spans="1:9">
      <c r="A235" s="337"/>
      <c r="B235" s="337"/>
      <c r="D235" s="1244"/>
      <c r="E235" s="1244"/>
      <c r="F235" s="1244"/>
      <c r="I235" s="1140"/>
    </row>
    <row r="236" spans="1:9">
      <c r="A236" s="337"/>
      <c r="B236" s="337"/>
      <c r="D236" s="1244"/>
      <c r="E236" s="1244"/>
      <c r="F236" s="1244"/>
      <c r="I236" s="1140"/>
    </row>
    <row r="237" spans="1:9" ht="14.25" customHeight="1">
      <c r="A237" s="337"/>
      <c r="B237" s="337"/>
      <c r="D237" s="1244"/>
      <c r="E237" s="1244"/>
      <c r="F237" s="1244"/>
      <c r="I237" s="1140"/>
    </row>
    <row r="238" spans="1:9" ht="14.25" customHeight="1">
      <c r="A238" s="337"/>
      <c r="B238" s="337"/>
      <c r="D238" s="1132"/>
      <c r="E238" s="1132"/>
      <c r="F238" s="1132"/>
      <c r="I238" s="1140"/>
    </row>
    <row r="239" spans="1:9">
      <c r="A239" s="337"/>
      <c r="B239" s="337"/>
      <c r="D239" s="1244" t="s">
        <v>373</v>
      </c>
      <c r="E239" s="1244"/>
      <c r="F239" s="1244"/>
      <c r="I239" s="1140"/>
    </row>
    <row r="240" spans="1:9">
      <c r="A240" s="337"/>
      <c r="B240" s="337"/>
      <c r="D240" s="1244"/>
      <c r="E240" s="1244"/>
      <c r="F240" s="1244"/>
      <c r="I240" s="1140"/>
    </row>
    <row r="241" spans="1:9">
      <c r="A241" s="337"/>
      <c r="B241" s="337"/>
      <c r="D241" s="1244"/>
      <c r="E241" s="1244"/>
      <c r="F241" s="1244"/>
      <c r="I241" s="1140"/>
    </row>
    <row r="242" spans="1:9">
      <c r="A242" s="337"/>
      <c r="B242" s="337"/>
      <c r="D242" s="1244"/>
      <c r="E242" s="1244"/>
      <c r="F242" s="1244"/>
      <c r="I242" s="1140"/>
    </row>
    <row r="243" spans="1:9">
      <c r="A243" s="337"/>
      <c r="B243" s="337"/>
      <c r="D243" s="1244"/>
      <c r="E243" s="1244"/>
      <c r="F243" s="1244"/>
      <c r="I243" s="1140"/>
    </row>
    <row r="244" spans="1:9">
      <c r="A244" s="337"/>
      <c r="B244" s="337"/>
      <c r="D244" s="1131"/>
      <c r="E244" s="1131"/>
      <c r="F244" s="1131"/>
      <c r="I244" s="1140"/>
    </row>
    <row r="245" spans="1:9">
      <c r="A245" s="337"/>
      <c r="B245" s="338" t="s">
        <v>309</v>
      </c>
      <c r="D245" s="1244" t="s">
        <v>374</v>
      </c>
      <c r="E245" s="1244"/>
      <c r="F245" s="1244"/>
      <c r="I245" s="1140"/>
    </row>
    <row r="246" spans="1:9">
      <c r="A246" s="337"/>
      <c r="B246" s="337"/>
      <c r="D246" s="1244"/>
      <c r="E246" s="1244"/>
      <c r="F246" s="1244"/>
      <c r="I246" s="1140"/>
    </row>
    <row r="247" spans="1:9">
      <c r="A247" s="337"/>
      <c r="B247" s="337"/>
      <c r="D247" s="1244"/>
      <c r="E247" s="1244"/>
      <c r="F247" s="1244"/>
      <c r="I247" s="1140"/>
    </row>
    <row r="248" spans="1:9">
      <c r="A248" s="337"/>
      <c r="B248" s="337"/>
      <c r="E248" s="823" t="s">
        <v>375</v>
      </c>
      <c r="I248" s="1140"/>
    </row>
    <row r="249" spans="1:9">
      <c r="A249" s="337"/>
      <c r="B249" s="337"/>
      <c r="D249" s="1131"/>
      <c r="E249" s="1131"/>
      <c r="F249" s="1131"/>
      <c r="I249" s="1140"/>
    </row>
    <row r="250" spans="1:9" ht="14.5" customHeight="1">
      <c r="A250" s="337"/>
      <c r="B250" s="338" t="s">
        <v>314</v>
      </c>
      <c r="D250" s="1244" t="s">
        <v>376</v>
      </c>
      <c r="E250" s="1244"/>
      <c r="F250" s="1244"/>
      <c r="I250" s="1140"/>
    </row>
    <row r="251" spans="1:9">
      <c r="A251" s="337"/>
      <c r="B251" s="337"/>
      <c r="D251" s="1244"/>
      <c r="E251" s="1244"/>
      <c r="F251" s="1244"/>
      <c r="I251" s="1140"/>
    </row>
    <row r="252" spans="1:9">
      <c r="A252" s="337"/>
      <c r="B252" s="337"/>
      <c r="D252" s="1244"/>
      <c r="E252" s="1244"/>
      <c r="F252" s="1244"/>
      <c r="I252" s="1140"/>
    </row>
    <row r="253" spans="1:9">
      <c r="A253" s="337"/>
      <c r="B253" s="337"/>
      <c r="D253" s="1244"/>
      <c r="E253" s="1244"/>
      <c r="F253" s="1244"/>
      <c r="I253" s="1140"/>
    </row>
    <row r="254" spans="1:9">
      <c r="A254" s="337"/>
      <c r="B254" s="337"/>
      <c r="D254" s="1244"/>
      <c r="E254" s="1244"/>
      <c r="F254" s="1244"/>
      <c r="I254" s="1140"/>
    </row>
    <row r="255" spans="1:9">
      <c r="A255" s="337"/>
      <c r="B255" s="337"/>
      <c r="D255" s="1132"/>
      <c r="E255" s="1132"/>
      <c r="F255" s="1132"/>
      <c r="I255" s="1140"/>
    </row>
    <row r="256" spans="1:9">
      <c r="A256" s="337"/>
      <c r="B256" s="338" t="s">
        <v>309</v>
      </c>
      <c r="D256" s="1134" t="s">
        <v>377</v>
      </c>
      <c r="E256" s="1132"/>
      <c r="F256" s="1132"/>
      <c r="I256" s="1140"/>
    </row>
    <row r="257" spans="1:9">
      <c r="A257" s="337"/>
      <c r="B257" s="337"/>
      <c r="E257" s="823" t="s">
        <v>378</v>
      </c>
      <c r="I257" s="1140"/>
    </row>
    <row r="258" spans="1:9">
      <c r="D258" s="1131"/>
      <c r="E258" s="1131"/>
      <c r="F258" s="1131"/>
      <c r="I258" s="1140"/>
    </row>
    <row r="259" spans="1:9">
      <c r="A259" s="337"/>
      <c r="B259" s="338" t="s">
        <v>309</v>
      </c>
      <c r="D259" s="1244" t="s">
        <v>379</v>
      </c>
      <c r="E259" s="1244"/>
      <c r="F259" s="1244"/>
      <c r="I259" s="1140"/>
    </row>
    <row r="260" spans="1:9">
      <c r="A260" s="337"/>
      <c r="B260" s="337"/>
      <c r="D260" s="1244"/>
      <c r="E260" s="1244"/>
      <c r="F260" s="1244"/>
      <c r="I260" s="1140"/>
    </row>
    <row r="261" spans="1:9">
      <c r="D261" s="343"/>
      <c r="I261" s="1140"/>
    </row>
    <row r="262" spans="1:9">
      <c r="A262" s="1247" t="s">
        <v>380</v>
      </c>
      <c r="B262" s="1247"/>
      <c r="C262" s="1247"/>
      <c r="D262" s="1247"/>
      <c r="E262" s="1247"/>
      <c r="F262" s="1247"/>
      <c r="G262" s="1247"/>
      <c r="H262" s="815"/>
      <c r="I262" s="936"/>
    </row>
    <row r="263" spans="1:9">
      <c r="D263" s="343"/>
      <c r="I263" s="1140"/>
    </row>
    <row r="264" spans="1:9">
      <c r="C264" s="339"/>
      <c r="D264" s="1252" t="s">
        <v>381</v>
      </c>
      <c r="E264" s="1252"/>
      <c r="F264" s="1252"/>
      <c r="I264" s="1140"/>
    </row>
    <row r="265" spans="1:9">
      <c r="A265" s="1143"/>
      <c r="B265" s="1143"/>
      <c r="C265" s="1143"/>
      <c r="D265" s="1131"/>
      <c r="E265" s="1131"/>
      <c r="F265" s="1131"/>
      <c r="I265" s="1140"/>
    </row>
    <row r="266" spans="1:9">
      <c r="A266" s="336"/>
      <c r="B266" s="336"/>
      <c r="C266" s="336"/>
      <c r="D266" s="1252" t="s">
        <v>382</v>
      </c>
      <c r="E266" s="1252"/>
      <c r="F266" s="1252"/>
      <c r="I266" s="1140"/>
    </row>
    <row r="267" spans="1:9" ht="14.5" customHeight="1">
      <c r="A267" s="337"/>
      <c r="B267" s="338" t="s">
        <v>309</v>
      </c>
      <c r="D267" s="1244" t="s">
        <v>383</v>
      </c>
      <c r="E267" s="1244"/>
      <c r="F267" s="1244"/>
      <c r="I267" s="1140"/>
    </row>
    <row r="268" spans="1:9">
      <c r="D268" s="1244"/>
      <c r="E268" s="1244"/>
      <c r="F268" s="1244"/>
      <c r="I268" s="1140"/>
    </row>
    <row r="269" spans="1:9">
      <c r="E269" s="823" t="s">
        <v>384</v>
      </c>
      <c r="I269" s="1140"/>
    </row>
    <row r="270" spans="1:9">
      <c r="D270" s="1131"/>
      <c r="E270" s="1131"/>
      <c r="F270" s="1131"/>
      <c r="I270" s="1140"/>
    </row>
    <row r="271" spans="1:9" ht="14.5" customHeight="1">
      <c r="A271" s="337"/>
      <c r="B271" s="338" t="s">
        <v>314</v>
      </c>
      <c r="D271" s="1244" t="s">
        <v>385</v>
      </c>
      <c r="E271" s="1244"/>
      <c r="F271" s="1244"/>
      <c r="I271" s="1140"/>
    </row>
    <row r="272" spans="1:9">
      <c r="D272" s="1244"/>
      <c r="E272" s="1244"/>
      <c r="F272" s="1244"/>
      <c r="I272" s="1140"/>
    </row>
    <row r="273" spans="1:9">
      <c r="D273" s="1244"/>
      <c r="E273" s="1244"/>
      <c r="F273" s="1244"/>
      <c r="I273" s="1140"/>
    </row>
    <row r="274" spans="1:9">
      <c r="D274" s="1244"/>
      <c r="E274" s="1244"/>
      <c r="F274" s="1244"/>
      <c r="I274" s="1140"/>
    </row>
    <row r="275" spans="1:9">
      <c r="D275" s="1244"/>
      <c r="E275" s="1244"/>
      <c r="F275" s="1244"/>
      <c r="I275" s="1140"/>
    </row>
    <row r="276" spans="1:9">
      <c r="D276" s="1244"/>
      <c r="E276" s="1244"/>
      <c r="F276" s="1244"/>
      <c r="I276" s="1140"/>
    </row>
    <row r="277" spans="1:9">
      <c r="D277" s="1131"/>
      <c r="E277" s="1131"/>
      <c r="F277" s="1131"/>
      <c r="I277" s="1140"/>
    </row>
    <row r="278" spans="1:9">
      <c r="A278" s="337"/>
      <c r="B278" s="338" t="s">
        <v>314</v>
      </c>
      <c r="D278" s="1244" t="s">
        <v>386</v>
      </c>
      <c r="E278" s="1244"/>
      <c r="F278" s="1244"/>
      <c r="I278" s="1140"/>
    </row>
    <row r="279" spans="1:9">
      <c r="D279" s="1244"/>
      <c r="E279" s="1244"/>
      <c r="F279" s="1244"/>
      <c r="I279" s="1140"/>
    </row>
    <row r="280" spans="1:9">
      <c r="D280" s="1244"/>
      <c r="E280" s="1244"/>
      <c r="F280" s="1244"/>
      <c r="I280" s="1140"/>
    </row>
    <row r="281" spans="1:9">
      <c r="D281" s="344"/>
      <c r="E281" s="1131"/>
      <c r="F281" s="1131"/>
      <c r="I281" s="1140"/>
    </row>
    <row r="282" spans="1:9">
      <c r="A282" s="1247" t="s">
        <v>387</v>
      </c>
      <c r="B282" s="1247"/>
      <c r="C282" s="1247"/>
      <c r="D282" s="1247"/>
      <c r="E282" s="1247"/>
      <c r="F282" s="1247"/>
      <c r="G282" s="1247"/>
      <c r="H282" s="815"/>
      <c r="I282" s="936"/>
    </row>
    <row r="283" spans="1:9">
      <c r="D283" s="344"/>
      <c r="E283" s="1131"/>
      <c r="F283" s="1131"/>
      <c r="I283" s="1140"/>
    </row>
    <row r="284" spans="1:9">
      <c r="C284" s="1143"/>
      <c r="D284" s="1246" t="s">
        <v>388</v>
      </c>
      <c r="E284" s="1246"/>
      <c r="F284" s="1246"/>
      <c r="I284" s="1140"/>
    </row>
    <row r="285" spans="1:9">
      <c r="C285" s="1143"/>
      <c r="D285" s="1246"/>
      <c r="E285" s="1246"/>
      <c r="F285" s="1246"/>
      <c r="I285" s="1140"/>
    </row>
    <row r="286" spans="1:9">
      <c r="A286" s="336"/>
      <c r="B286" s="336"/>
      <c r="C286" s="336"/>
      <c r="D286" s="274"/>
      <c r="I286" s="1140"/>
    </row>
    <row r="287" spans="1:9">
      <c r="C287" s="336"/>
      <c r="D287" s="1252" t="s">
        <v>389</v>
      </c>
      <c r="E287" s="1252"/>
      <c r="F287" s="1252"/>
      <c r="I287" s="1140"/>
    </row>
    <row r="288" spans="1:9" ht="15.75" customHeight="1">
      <c r="A288" s="337"/>
      <c r="B288" s="337"/>
      <c r="D288" s="1259" t="s">
        <v>390</v>
      </c>
      <c r="E288" s="1259"/>
      <c r="F288" s="1259"/>
      <c r="I288" s="1140"/>
    </row>
    <row r="289" spans="1:9">
      <c r="E289" s="1131"/>
      <c r="F289" s="1131"/>
      <c r="I289" s="1140"/>
    </row>
    <row r="290" spans="1:9">
      <c r="A290" s="337"/>
      <c r="B290" s="338" t="s">
        <v>314</v>
      </c>
      <c r="D290" s="1244" t="s">
        <v>391</v>
      </c>
      <c r="E290" s="1244"/>
      <c r="F290" s="1244"/>
      <c r="I290" s="1140"/>
    </row>
    <row r="291" spans="1:9">
      <c r="A291" s="337"/>
      <c r="B291" s="337"/>
      <c r="D291" s="1244"/>
      <c r="E291" s="1244"/>
      <c r="F291" s="1244"/>
      <c r="I291" s="1140"/>
    </row>
    <row r="292" spans="1:9">
      <c r="D292" s="1131"/>
      <c r="E292" s="1131"/>
      <c r="F292" s="1131"/>
      <c r="I292" s="1140"/>
    </row>
    <row r="293" spans="1:9">
      <c r="A293" s="337"/>
      <c r="B293" s="338" t="s">
        <v>314</v>
      </c>
      <c r="D293" s="1244" t="s">
        <v>392</v>
      </c>
      <c r="E293" s="1244"/>
      <c r="F293" s="1244"/>
      <c r="I293" s="1140"/>
    </row>
    <row r="294" spans="1:9">
      <c r="A294" s="337"/>
      <c r="B294" s="337"/>
      <c r="D294" s="1244"/>
      <c r="E294" s="1244"/>
      <c r="F294" s="1244"/>
      <c r="I294" s="1140"/>
    </row>
    <row r="295" spans="1:9">
      <c r="A295" s="337"/>
      <c r="B295" s="337"/>
      <c r="D295" s="1244"/>
      <c r="E295" s="1244"/>
      <c r="F295" s="1244"/>
      <c r="I295" s="1140"/>
    </row>
    <row r="296" spans="1:9">
      <c r="D296" s="1131"/>
      <c r="E296" s="1131"/>
      <c r="F296" s="1131"/>
      <c r="I296" s="1140"/>
    </row>
    <row r="297" spans="1:9">
      <c r="A297" s="337"/>
      <c r="B297" s="338" t="s">
        <v>314</v>
      </c>
      <c r="D297" s="1244" t="s">
        <v>393</v>
      </c>
      <c r="E297" s="1244"/>
      <c r="F297" s="1244"/>
      <c r="I297" s="1140"/>
    </row>
    <row r="298" spans="1:9">
      <c r="A298" s="337"/>
      <c r="B298" s="337"/>
      <c r="D298" s="1244"/>
      <c r="E298" s="1244"/>
      <c r="F298" s="1244"/>
      <c r="I298" s="1140"/>
    </row>
    <row r="299" spans="1:9">
      <c r="A299" s="1140"/>
      <c r="B299" s="1140"/>
      <c r="E299" s="1131"/>
      <c r="F299" s="1131"/>
      <c r="I299" s="1140"/>
    </row>
    <row r="300" spans="1:9">
      <c r="A300" s="1247" t="s">
        <v>394</v>
      </c>
      <c r="B300" s="1247"/>
      <c r="C300" s="1247"/>
      <c r="D300" s="1247"/>
      <c r="E300" s="1247"/>
      <c r="F300" s="1247"/>
      <c r="G300" s="1247"/>
      <c r="H300" s="815"/>
      <c r="I300" s="936"/>
    </row>
    <row r="301" spans="1:9">
      <c r="A301" s="1140"/>
      <c r="B301" s="1140"/>
      <c r="D301" s="1131"/>
      <c r="E301" s="1131"/>
      <c r="F301" s="1131"/>
      <c r="I301" s="1140"/>
    </row>
    <row r="302" spans="1:9">
      <c r="C302" s="1140"/>
      <c r="D302" s="1252" t="s">
        <v>395</v>
      </c>
      <c r="E302" s="1252"/>
      <c r="F302" s="1252"/>
      <c r="I302" s="1140"/>
    </row>
    <row r="303" spans="1:9">
      <c r="C303" s="1140"/>
      <c r="D303" s="1245" t="s">
        <v>396</v>
      </c>
      <c r="E303" s="1245"/>
      <c r="F303" s="1245"/>
      <c r="I303" s="1140"/>
    </row>
    <row r="304" spans="1:9">
      <c r="C304" s="1140"/>
      <c r="D304" s="345"/>
      <c r="I304" s="1140"/>
    </row>
    <row r="305" spans="1:9">
      <c r="B305" s="338" t="s">
        <v>314</v>
      </c>
      <c r="D305" s="1245" t="s">
        <v>397</v>
      </c>
      <c r="E305" s="1245"/>
      <c r="F305" s="1245"/>
      <c r="I305" s="1140"/>
    </row>
    <row r="306" spans="1:9">
      <c r="A306" s="337"/>
      <c r="B306" s="337"/>
      <c r="D306" s="346"/>
      <c r="E306" s="347"/>
      <c r="F306" s="347"/>
      <c r="I306" s="1140"/>
    </row>
    <row r="307" spans="1:9" ht="13.75" customHeight="1">
      <c r="B307" s="338" t="s">
        <v>314</v>
      </c>
      <c r="D307" s="1254" t="s">
        <v>398</v>
      </c>
      <c r="E307" s="1254"/>
      <c r="F307" s="1254"/>
      <c r="I307" s="1140"/>
    </row>
    <row r="308" spans="1:9">
      <c r="A308" s="337"/>
      <c r="B308" s="337"/>
      <c r="D308" s="1254"/>
      <c r="E308" s="1254"/>
      <c r="F308" s="1254"/>
      <c r="I308" s="1140"/>
    </row>
    <row r="309" spans="1:9">
      <c r="A309" s="337"/>
      <c r="B309" s="337"/>
      <c r="D309" s="1254"/>
      <c r="E309" s="1254"/>
      <c r="F309" s="1254"/>
      <c r="I309" s="1140"/>
    </row>
    <row r="310" spans="1:9">
      <c r="A310" s="337"/>
      <c r="B310" s="337"/>
      <c r="D310" s="1254"/>
      <c r="E310" s="1254"/>
      <c r="F310" s="1254"/>
      <c r="I310" s="1140"/>
    </row>
    <row r="311" spans="1:9">
      <c r="A311" s="337"/>
      <c r="B311" s="337"/>
      <c r="D311" s="1254"/>
      <c r="E311" s="1254"/>
      <c r="F311" s="1254"/>
      <c r="I311" s="1140"/>
    </row>
    <row r="312" spans="1:9">
      <c r="A312" s="337"/>
      <c r="B312" s="337"/>
      <c r="D312" s="346"/>
      <c r="E312" s="347"/>
      <c r="F312" s="347"/>
      <c r="I312" s="1140"/>
    </row>
    <row r="313" spans="1:9" ht="13.75" customHeight="1">
      <c r="B313" s="338" t="s">
        <v>314</v>
      </c>
      <c r="D313" s="1254" t="s">
        <v>399</v>
      </c>
      <c r="E313" s="1254"/>
      <c r="F313" s="1254"/>
      <c r="I313" s="1140"/>
    </row>
    <row r="314" spans="1:9">
      <c r="D314" s="1254"/>
      <c r="E314" s="1254"/>
      <c r="F314" s="1254"/>
      <c r="I314" s="1140"/>
    </row>
    <row r="315" spans="1:9">
      <c r="A315" s="337"/>
      <c r="B315" s="337"/>
      <c r="D315" s="346"/>
      <c r="E315" s="347"/>
      <c r="F315" s="347"/>
      <c r="I315" s="1140"/>
    </row>
    <row r="316" spans="1:9">
      <c r="B316" s="338" t="s">
        <v>314</v>
      </c>
      <c r="D316" s="1245" t="s">
        <v>400</v>
      </c>
      <c r="E316" s="1245"/>
      <c r="F316" s="1245"/>
      <c r="I316" s="1140"/>
    </row>
    <row r="317" spans="1:9">
      <c r="E317" s="1131"/>
      <c r="F317" s="1131"/>
      <c r="I317" s="1140"/>
    </row>
    <row r="318" spans="1:9">
      <c r="A318" s="337"/>
      <c r="B318" s="338" t="s">
        <v>314</v>
      </c>
      <c r="D318" s="1244" t="s">
        <v>401</v>
      </c>
      <c r="E318" s="1244"/>
      <c r="F318" s="1244"/>
      <c r="I318" s="1140"/>
    </row>
    <row r="319" spans="1:9">
      <c r="A319" s="337"/>
      <c r="B319" s="337"/>
      <c r="D319" s="1244"/>
      <c r="E319" s="1244"/>
      <c r="F319" s="1244"/>
      <c r="I319" s="1140"/>
    </row>
    <row r="320" spans="1:9">
      <c r="A320" s="337"/>
      <c r="B320" s="337"/>
      <c r="D320" s="1244"/>
      <c r="E320" s="1244"/>
      <c r="F320" s="1244"/>
      <c r="I320" s="1140"/>
    </row>
    <row r="321" spans="1:9">
      <c r="A321" s="337"/>
      <c r="B321" s="337"/>
      <c r="D321" s="1244"/>
      <c r="E321" s="1244"/>
      <c r="F321" s="1244"/>
      <c r="I321" s="1140"/>
    </row>
    <row r="322" spans="1:9">
      <c r="A322" s="337"/>
      <c r="B322" s="337"/>
      <c r="D322" s="1244"/>
      <c r="E322" s="1244"/>
      <c r="F322" s="1244"/>
      <c r="I322" s="1140"/>
    </row>
    <row r="323" spans="1:9">
      <c r="A323" s="337"/>
      <c r="B323" s="337"/>
      <c r="D323" s="1244"/>
      <c r="E323" s="1244"/>
      <c r="F323" s="1244"/>
      <c r="I323" s="1140"/>
    </row>
    <row r="324" spans="1:9">
      <c r="A324" s="337"/>
      <c r="B324" s="337"/>
      <c r="D324" s="1244"/>
      <c r="E324" s="1244"/>
      <c r="F324" s="1244"/>
      <c r="I324" s="1140"/>
    </row>
    <row r="325" spans="1:9">
      <c r="A325" s="337"/>
      <c r="B325" s="337"/>
      <c r="D325" s="1244"/>
      <c r="E325" s="1244"/>
      <c r="F325" s="1244"/>
      <c r="I325" s="1140"/>
    </row>
    <row r="326" spans="1:9">
      <c r="A326" s="337"/>
      <c r="B326" s="337"/>
      <c r="D326" s="1244"/>
      <c r="E326" s="1244"/>
      <c r="F326" s="1244"/>
      <c r="I326" s="1140"/>
    </row>
    <row r="327" spans="1:9">
      <c r="A327" s="337"/>
      <c r="B327" s="337"/>
      <c r="D327" s="1244"/>
      <c r="E327" s="1244"/>
      <c r="F327" s="1244"/>
      <c r="I327" s="1140"/>
    </row>
    <row r="328" spans="1:9">
      <c r="A328" s="337"/>
      <c r="B328" s="337"/>
      <c r="D328" s="1244"/>
      <c r="E328" s="1244"/>
      <c r="F328" s="1244"/>
      <c r="I328" s="1140"/>
    </row>
    <row r="329" spans="1:9">
      <c r="A329" s="337"/>
      <c r="B329" s="337"/>
      <c r="D329" s="1244"/>
      <c r="E329" s="1244"/>
      <c r="F329" s="1244"/>
      <c r="I329" s="1140"/>
    </row>
    <row r="330" spans="1:9">
      <c r="A330" s="337"/>
      <c r="B330" s="337"/>
      <c r="D330" s="1244"/>
      <c r="E330" s="1244"/>
      <c r="F330" s="1244"/>
      <c r="I330" s="1140"/>
    </row>
    <row r="331" spans="1:9">
      <c r="A331" s="337"/>
      <c r="B331" s="337"/>
      <c r="D331" s="1244"/>
      <c r="E331" s="1244"/>
      <c r="F331" s="1244"/>
      <c r="I331" s="1140"/>
    </row>
    <row r="332" spans="1:9">
      <c r="A332" s="337"/>
      <c r="B332" s="337"/>
      <c r="D332" s="1244"/>
      <c r="E332" s="1244"/>
      <c r="F332" s="1244"/>
      <c r="I332" s="1140"/>
    </row>
    <row r="333" spans="1:9">
      <c r="D333" s="1131"/>
      <c r="E333" s="1131"/>
      <c r="F333" s="1131"/>
      <c r="I333" s="1140"/>
    </row>
    <row r="334" spans="1:9">
      <c r="A334" s="337"/>
      <c r="B334" s="338" t="s">
        <v>314</v>
      </c>
      <c r="D334" s="1244" t="s">
        <v>402</v>
      </c>
      <c r="E334" s="1244"/>
      <c r="F334" s="1244"/>
      <c r="I334" s="1140"/>
    </row>
    <row r="335" spans="1:9">
      <c r="D335" s="1244"/>
      <c r="E335" s="1244"/>
      <c r="F335" s="1244"/>
      <c r="I335" s="1140"/>
    </row>
    <row r="336" spans="1:9">
      <c r="D336" s="1244"/>
      <c r="E336" s="1244"/>
      <c r="F336" s="1244"/>
      <c r="I336" s="1140"/>
    </row>
    <row r="337" spans="1:9">
      <c r="D337" s="1244"/>
      <c r="E337" s="1244"/>
      <c r="F337" s="1244"/>
      <c r="I337" s="1140"/>
    </row>
    <row r="338" spans="1:9">
      <c r="D338" s="1244"/>
      <c r="E338" s="1244"/>
      <c r="F338" s="1244"/>
      <c r="I338" s="1140"/>
    </row>
    <row r="339" spans="1:9">
      <c r="D339" s="1244"/>
      <c r="E339" s="1244"/>
      <c r="F339" s="1244"/>
      <c r="I339" s="1140"/>
    </row>
    <row r="340" spans="1:9">
      <c r="D340" s="1244"/>
      <c r="E340" s="1244"/>
      <c r="F340" s="1244"/>
      <c r="I340" s="1140"/>
    </row>
    <row r="341" spans="1:9">
      <c r="D341" s="1244"/>
      <c r="E341" s="1244"/>
      <c r="F341" s="1244"/>
      <c r="I341" s="1140"/>
    </row>
    <row r="342" spans="1:9">
      <c r="D342" s="1244"/>
      <c r="E342" s="1244"/>
      <c r="F342" s="1244"/>
      <c r="I342" s="1140"/>
    </row>
    <row r="343" spans="1:9">
      <c r="D343" s="1131"/>
      <c r="E343" s="1131"/>
      <c r="F343" s="1131"/>
      <c r="I343" s="1140"/>
    </row>
    <row r="344" spans="1:9" ht="14.25" customHeight="1">
      <c r="A344" s="337"/>
      <c r="B344" s="338" t="s">
        <v>314</v>
      </c>
      <c r="D344" s="1244" t="s">
        <v>403</v>
      </c>
      <c r="E344" s="1244"/>
      <c r="F344" s="1244"/>
      <c r="I344" s="1140"/>
    </row>
    <row r="345" spans="1:9">
      <c r="D345" s="1244"/>
      <c r="E345" s="1244"/>
      <c r="F345" s="1244"/>
      <c r="I345" s="1140"/>
    </row>
    <row r="346" spans="1:9">
      <c r="D346" s="1244"/>
      <c r="E346" s="1244"/>
      <c r="F346" s="1244"/>
      <c r="I346" s="1140"/>
    </row>
    <row r="347" spans="1:9">
      <c r="D347" s="1244"/>
      <c r="E347" s="1244"/>
      <c r="F347" s="1244"/>
      <c r="I347" s="1140"/>
    </row>
    <row r="348" spans="1:9">
      <c r="D348" s="258" t="s">
        <v>354</v>
      </c>
      <c r="E348" s="1138"/>
      <c r="F348" s="1138"/>
      <c r="I348" s="1140"/>
    </row>
    <row r="349" spans="1:9">
      <c r="D349" s="1138"/>
      <c r="E349" s="55" t="s">
        <v>404</v>
      </c>
      <c r="G349" s="55"/>
      <c r="I349" s="1140"/>
    </row>
    <row r="350" spans="1:9">
      <c r="D350" s="1132"/>
      <c r="E350" s="1132"/>
      <c r="F350" s="1132"/>
      <c r="I350" s="1140"/>
    </row>
    <row r="351" spans="1:9" ht="13.5" thickBot="1">
      <c r="A351" s="810"/>
      <c r="B351" s="810"/>
      <c r="C351" s="810"/>
      <c r="D351" s="1257" t="s">
        <v>405</v>
      </c>
      <c r="E351" s="1257"/>
      <c r="F351" s="1257"/>
      <c r="G351" s="814"/>
      <c r="H351" s="814"/>
      <c r="I351" s="939"/>
    </row>
    <row r="352" spans="1:9" ht="13.5" thickTop="1">
      <c r="D352" s="1255" t="s">
        <v>406</v>
      </c>
      <c r="E352" s="1255"/>
      <c r="F352" s="1255"/>
      <c r="I352" s="1140"/>
    </row>
    <row r="353" spans="1:9">
      <c r="D353" s="1131"/>
      <c r="E353" s="1131"/>
      <c r="F353" s="1131"/>
      <c r="I353" s="1140"/>
    </row>
    <row r="354" spans="1:9">
      <c r="A354" s="332"/>
      <c r="B354" s="332"/>
      <c r="C354" s="332"/>
      <c r="D354" s="1139"/>
      <c r="E354" s="1139"/>
      <c r="F354" s="1131"/>
      <c r="I354" s="1140"/>
    </row>
    <row r="355" spans="1:9">
      <c r="A355" s="337"/>
      <c r="B355" s="338" t="s">
        <v>314</v>
      </c>
      <c r="C355" s="340"/>
      <c r="D355" s="1245" t="s">
        <v>407</v>
      </c>
      <c r="E355" s="1245"/>
      <c r="F355" s="1245"/>
      <c r="I355" s="1140"/>
    </row>
    <row r="356" spans="1:9" ht="12.75" customHeight="1">
      <c r="D356" s="1116"/>
      <c r="E356" s="55" t="s">
        <v>408</v>
      </c>
      <c r="F356" s="1116"/>
      <c r="I356" s="1140"/>
    </row>
    <row r="357" spans="1:9">
      <c r="D357" s="1244" t="s">
        <v>409</v>
      </c>
      <c r="E357" s="1244"/>
      <c r="F357" s="1244"/>
      <c r="I357" s="1140"/>
    </row>
    <row r="358" spans="1:9">
      <c r="D358" s="1244"/>
      <c r="E358" s="1244"/>
      <c r="F358" s="1244"/>
      <c r="I358" s="1140"/>
    </row>
    <row r="359" spans="1:9">
      <c r="D359" s="1244"/>
      <c r="E359" s="1244"/>
      <c r="F359" s="1244"/>
      <c r="I359" s="1140"/>
    </row>
    <row r="360" spans="1:9">
      <c r="A360" s="337"/>
      <c r="B360" s="338" t="s">
        <v>314</v>
      </c>
      <c r="C360" s="332"/>
      <c r="D360" s="1256" t="s">
        <v>410</v>
      </c>
      <c r="E360" s="1256"/>
      <c r="F360" s="1256"/>
      <c r="I360" s="335"/>
    </row>
    <row r="361" spans="1:9">
      <c r="A361" s="332"/>
      <c r="B361" s="332"/>
      <c r="C361" s="332"/>
      <c r="D361" s="1139"/>
      <c r="E361" s="1139"/>
      <c r="F361" s="1131"/>
      <c r="I361" s="1140"/>
    </row>
    <row r="362" spans="1:9">
      <c r="A362" s="332"/>
      <c r="B362" s="338" t="s">
        <v>314</v>
      </c>
      <c r="C362" s="332"/>
      <c r="D362" s="1224" t="s">
        <v>411</v>
      </c>
      <c r="E362" s="1224"/>
      <c r="F362" s="1224"/>
      <c r="I362" s="1140"/>
    </row>
    <row r="363" spans="1:9">
      <c r="A363" s="332"/>
      <c r="B363" s="332"/>
      <c r="C363" s="332"/>
      <c r="D363" s="1224"/>
      <c r="E363" s="1224"/>
      <c r="F363" s="1224"/>
      <c r="I363" s="1140"/>
    </row>
    <row r="364" spans="1:9">
      <c r="A364" s="332"/>
      <c r="B364" s="332"/>
      <c r="C364" s="332"/>
      <c r="D364" s="1224"/>
      <c r="E364" s="1224"/>
      <c r="F364" s="1224"/>
      <c r="I364" s="1140"/>
    </row>
    <row r="365" spans="1:9">
      <c r="A365" s="332"/>
      <c r="B365" s="332"/>
      <c r="C365" s="332"/>
      <c r="D365" s="1224"/>
      <c r="E365" s="1224"/>
      <c r="F365" s="1224"/>
      <c r="I365" s="1140"/>
    </row>
    <row r="366" spans="1:9">
      <c r="A366" s="332"/>
      <c r="B366" s="332"/>
      <c r="C366" s="332"/>
      <c r="D366" s="1224"/>
      <c r="E366" s="1224"/>
      <c r="F366" s="1224"/>
      <c r="I366" s="1140"/>
    </row>
    <row r="367" spans="1:9">
      <c r="A367" s="332"/>
      <c r="B367" s="332"/>
      <c r="C367" s="332"/>
      <c r="D367" s="1224"/>
      <c r="E367" s="1224"/>
      <c r="F367" s="1224"/>
      <c r="I367" s="1140"/>
    </row>
    <row r="368" spans="1:9">
      <c r="A368" s="332"/>
      <c r="B368" s="332"/>
      <c r="C368" s="332"/>
      <c r="D368" s="1224"/>
      <c r="E368" s="1224"/>
      <c r="F368" s="1224"/>
      <c r="I368" s="1140"/>
    </row>
    <row r="369" spans="1:9">
      <c r="A369" s="332"/>
      <c r="B369" s="332"/>
      <c r="C369" s="332"/>
      <c r="D369" s="1224"/>
      <c r="E369" s="1224"/>
      <c r="F369" s="1224"/>
      <c r="I369" s="1140"/>
    </row>
    <row r="370" spans="1:9">
      <c r="A370" s="332"/>
      <c r="B370" s="332"/>
      <c r="C370" s="332"/>
      <c r="D370" s="1224"/>
      <c r="E370" s="1224"/>
      <c r="F370" s="1224"/>
      <c r="I370" s="1140"/>
    </row>
    <row r="371" spans="1:9">
      <c r="A371" s="332"/>
      <c r="B371" s="332"/>
      <c r="C371" s="332"/>
      <c r="D371" s="1224"/>
      <c r="E371" s="1224"/>
      <c r="F371" s="1224"/>
      <c r="I371" s="1140"/>
    </row>
    <row r="372" spans="1:9">
      <c r="A372" s="332"/>
      <c r="B372" s="332"/>
      <c r="C372" s="332"/>
      <c r="D372" s="1224"/>
      <c r="E372" s="1224"/>
      <c r="F372" s="1224"/>
      <c r="I372" s="1140"/>
    </row>
    <row r="373" spans="1:9">
      <c r="A373" s="332"/>
      <c r="B373" s="332"/>
      <c r="C373" s="332"/>
      <c r="D373" s="1224"/>
      <c r="E373" s="1224"/>
      <c r="F373" s="1224"/>
      <c r="I373" s="1140"/>
    </row>
    <row r="374" spans="1:9">
      <c r="A374" s="332"/>
      <c r="B374" s="332"/>
      <c r="C374" s="332"/>
      <c r="D374" s="1117"/>
      <c r="E374" s="1117"/>
      <c r="F374" s="1117"/>
      <c r="I374" s="1140"/>
    </row>
    <row r="375" spans="1:9" ht="12.65" customHeight="1">
      <c r="A375" s="332"/>
      <c r="B375" s="338" t="s">
        <v>314</v>
      </c>
      <c r="C375" s="332"/>
      <c r="D375" s="1241" t="s">
        <v>412</v>
      </c>
      <c r="E375" s="1241"/>
      <c r="F375" s="1241"/>
      <c r="I375" s="1140"/>
    </row>
    <row r="376" spans="1:9">
      <c r="A376" s="332"/>
      <c r="B376" s="332"/>
      <c r="C376" s="332"/>
      <c r="D376" s="1241"/>
      <c r="E376" s="1241"/>
      <c r="F376" s="1241"/>
      <c r="I376" s="1140"/>
    </row>
    <row r="377" spans="1:9">
      <c r="A377" s="332"/>
      <c r="B377" s="332"/>
      <c r="C377" s="332"/>
      <c r="D377" s="1241"/>
      <c r="E377" s="1241"/>
      <c r="F377" s="1241"/>
      <c r="I377" s="1140"/>
    </row>
    <row r="378" spans="1:9">
      <c r="A378" s="332"/>
      <c r="B378" s="332"/>
      <c r="C378" s="332"/>
      <c r="D378" s="1241"/>
      <c r="E378" s="1241"/>
      <c r="F378" s="1241"/>
      <c r="I378" s="1140"/>
    </row>
    <row r="379" spans="1:9">
      <c r="A379" s="332"/>
      <c r="B379" s="332"/>
      <c r="C379" s="332"/>
      <c r="D379" s="1120"/>
      <c r="E379" s="1120"/>
      <c r="F379" s="1120"/>
      <c r="I379" s="1140"/>
    </row>
    <row r="380" spans="1:9">
      <c r="A380" s="332"/>
      <c r="B380" s="338" t="s">
        <v>314</v>
      </c>
      <c r="C380" s="332"/>
      <c r="D380" s="272" t="s">
        <v>413</v>
      </c>
      <c r="E380" s="1120"/>
      <c r="F380" s="1120"/>
      <c r="I380" s="1140"/>
    </row>
    <row r="381" spans="1:9">
      <c r="A381" s="332"/>
      <c r="B381" s="332"/>
      <c r="C381" s="332"/>
      <c r="D381" s="272" t="s">
        <v>414</v>
      </c>
      <c r="E381" s="1120"/>
      <c r="F381" s="1120"/>
      <c r="I381" s="1140"/>
    </row>
    <row r="382" spans="1:9">
      <c r="A382" s="332"/>
      <c r="B382" s="332"/>
      <c r="C382" s="332"/>
      <c r="D382" s="272" t="s">
        <v>415</v>
      </c>
      <c r="E382" s="1120"/>
      <c r="F382" s="1120"/>
      <c r="I382" s="1140"/>
    </row>
    <row r="383" spans="1:9">
      <c r="A383" s="332"/>
      <c r="B383" s="332"/>
      <c r="C383" s="332"/>
      <c r="D383" s="272" t="s">
        <v>416</v>
      </c>
      <c r="E383" s="1120"/>
      <c r="F383" s="1120"/>
      <c r="I383" s="1140"/>
    </row>
    <row r="384" spans="1:9">
      <c r="A384" s="332"/>
      <c r="B384" s="332"/>
      <c r="C384" s="332"/>
      <c r="D384" s="272" t="s">
        <v>417</v>
      </c>
      <c r="E384" s="1120"/>
      <c r="F384" s="1120"/>
      <c r="I384" s="1140"/>
    </row>
    <row r="385" spans="1:9">
      <c r="A385" s="332"/>
      <c r="B385" s="332"/>
      <c r="C385" s="332"/>
      <c r="D385" s="272" t="s">
        <v>418</v>
      </c>
      <c r="E385" s="1120"/>
      <c r="F385" s="1120"/>
      <c r="I385" s="1140"/>
    </row>
    <row r="386" spans="1:9">
      <c r="A386" s="332"/>
      <c r="B386" s="332"/>
      <c r="C386" s="332"/>
      <c r="E386" s="1139"/>
      <c r="F386" s="1131"/>
      <c r="I386" s="1140"/>
    </row>
    <row r="387" spans="1:9">
      <c r="A387" s="337"/>
      <c r="B387" s="338" t="s">
        <v>314</v>
      </c>
      <c r="C387" s="332"/>
      <c r="D387" s="1224" t="s">
        <v>419</v>
      </c>
      <c r="E387" s="1224"/>
      <c r="F387" s="1224"/>
      <c r="I387" s="1140"/>
    </row>
    <row r="388" spans="1:9">
      <c r="A388" s="332"/>
      <c r="B388" s="332"/>
      <c r="C388" s="332"/>
      <c r="D388" s="1224"/>
      <c r="E388" s="1224"/>
      <c r="F388" s="1224"/>
      <c r="I388" s="1140"/>
    </row>
    <row r="389" spans="1:9">
      <c r="A389" s="332"/>
      <c r="B389" s="332"/>
      <c r="C389" s="332"/>
      <c r="D389" s="1224"/>
      <c r="E389" s="1224"/>
      <c r="F389" s="1224"/>
      <c r="I389" s="1140"/>
    </row>
    <row r="390" spans="1:9">
      <c r="A390" s="332"/>
      <c r="B390" s="332"/>
      <c r="C390" s="332"/>
      <c r="D390" s="1224"/>
      <c r="E390" s="1224"/>
      <c r="F390" s="1224"/>
      <c r="I390" s="1140"/>
    </row>
    <row r="391" spans="1:9">
      <c r="A391" s="332"/>
      <c r="B391" s="332"/>
      <c r="C391" s="332"/>
      <c r="D391" s="1139"/>
      <c r="E391" s="1139"/>
      <c r="F391" s="1131"/>
      <c r="I391" s="1140"/>
    </row>
    <row r="392" spans="1:9">
      <c r="A392" s="332"/>
      <c r="B392" s="332"/>
      <c r="C392" s="332"/>
      <c r="D392" s="1224" t="s">
        <v>420</v>
      </c>
      <c r="E392" s="1224"/>
      <c r="F392" s="1224"/>
      <c r="I392" s="1140"/>
    </row>
    <row r="393" spans="1:9">
      <c r="A393" s="332"/>
      <c r="B393" s="332"/>
      <c r="C393" s="332"/>
      <c r="D393" s="1224"/>
      <c r="E393" s="1224"/>
      <c r="F393" s="1224"/>
      <c r="I393" s="1140"/>
    </row>
    <row r="394" spans="1:9">
      <c r="A394" s="332"/>
      <c r="B394" s="332"/>
      <c r="C394" s="332"/>
      <c r="D394" s="1224"/>
      <c r="E394" s="1224"/>
      <c r="F394" s="1224"/>
      <c r="I394" s="1140"/>
    </row>
    <row r="395" spans="1:9">
      <c r="A395" s="332"/>
      <c r="B395" s="332"/>
      <c r="C395" s="332"/>
      <c r="D395" s="1224"/>
      <c r="E395" s="1224"/>
      <c r="F395" s="1224"/>
      <c r="I395" s="1140"/>
    </row>
    <row r="396" spans="1:9" ht="18" customHeight="1">
      <c r="A396" s="332"/>
      <c r="B396" s="332"/>
      <c r="C396" s="332"/>
      <c r="D396" s="1224"/>
      <c r="E396" s="1224"/>
      <c r="F396" s="1224"/>
      <c r="I396" s="1140"/>
    </row>
    <row r="397" spans="1:9">
      <c r="A397" s="332"/>
      <c r="B397" s="332"/>
      <c r="C397" s="332"/>
      <c r="D397" s="1224"/>
      <c r="E397" s="1224"/>
      <c r="F397" s="1224"/>
      <c r="I397" s="1140"/>
    </row>
    <row r="398" spans="1:9">
      <c r="A398" s="332"/>
      <c r="B398" s="332"/>
      <c r="C398" s="332"/>
      <c r="D398" s="1224"/>
      <c r="E398" s="1224"/>
      <c r="F398" s="1224"/>
      <c r="I398" s="1140"/>
    </row>
    <row r="399" spans="1:9">
      <c r="A399" s="332"/>
      <c r="B399" s="332"/>
      <c r="C399" s="332"/>
      <c r="D399" s="1224"/>
      <c r="E399" s="1224"/>
      <c r="F399" s="1224"/>
      <c r="I399" s="1140"/>
    </row>
    <row r="400" spans="1:9" ht="8.25" customHeight="1">
      <c r="A400" s="332"/>
      <c r="B400" s="332"/>
      <c r="C400" s="332"/>
      <c r="D400" s="1224"/>
      <c r="E400" s="1224"/>
      <c r="F400" s="1224"/>
      <c r="I400" s="1140"/>
    </row>
    <row r="401" spans="1:9" ht="13.75" customHeight="1">
      <c r="A401" s="332"/>
      <c r="B401" s="332"/>
      <c r="C401" s="332"/>
      <c r="D401" s="1224" t="s">
        <v>421</v>
      </c>
      <c r="E401" s="1224"/>
      <c r="F401" s="1224"/>
      <c r="I401" s="1140"/>
    </row>
    <row r="402" spans="1:9">
      <c r="A402" s="332"/>
      <c r="B402" s="332"/>
      <c r="C402" s="332"/>
      <c r="D402" s="1224"/>
      <c r="E402" s="1224"/>
      <c r="F402" s="1224"/>
      <c r="I402" s="1140"/>
    </row>
    <row r="403" spans="1:9">
      <c r="A403" s="332"/>
      <c r="B403" s="332"/>
      <c r="C403" s="332"/>
      <c r="D403" s="1224"/>
      <c r="E403" s="1224"/>
      <c r="F403" s="1224"/>
      <c r="I403" s="1140"/>
    </row>
    <row r="404" spans="1:9">
      <c r="A404" s="332"/>
      <c r="B404" s="332"/>
      <c r="C404" s="332"/>
      <c r="D404" s="1224"/>
      <c r="E404" s="1224"/>
      <c r="F404" s="1224"/>
      <c r="I404" s="1140"/>
    </row>
    <row r="405" spans="1:9">
      <c r="A405" s="332"/>
      <c r="B405" s="332"/>
      <c r="C405" s="332"/>
      <c r="D405" s="1224"/>
      <c r="E405" s="1224"/>
      <c r="F405" s="1224"/>
      <c r="I405" s="1140"/>
    </row>
    <row r="406" spans="1:9">
      <c r="A406" s="332"/>
      <c r="B406" s="332"/>
      <c r="C406" s="332"/>
      <c r="D406" s="1224"/>
      <c r="E406" s="1224"/>
      <c r="F406" s="1224"/>
      <c r="I406" s="1140"/>
    </row>
    <row r="407" spans="1:9">
      <c r="A407" s="332"/>
      <c r="B407" s="332"/>
      <c r="C407" s="332"/>
      <c r="D407" s="1224"/>
      <c r="E407" s="1224"/>
      <c r="F407" s="1224"/>
      <c r="I407" s="1140"/>
    </row>
    <row r="408" spans="1:9">
      <c r="A408" s="332"/>
      <c r="B408" s="332"/>
      <c r="C408" s="332"/>
      <c r="D408" s="1224"/>
      <c r="E408" s="1224"/>
      <c r="F408" s="1224"/>
      <c r="I408" s="1140"/>
    </row>
    <row r="409" spans="1:9">
      <c r="A409" s="332"/>
      <c r="B409" s="332"/>
      <c r="C409" s="332"/>
      <c r="D409" s="1224"/>
      <c r="E409" s="1224"/>
      <c r="F409" s="1224"/>
      <c r="I409" s="1140"/>
    </row>
    <row r="410" spans="1:9">
      <c r="A410" s="332"/>
      <c r="B410" s="332"/>
      <c r="C410" s="332"/>
      <c r="D410" s="1224"/>
      <c r="E410" s="1224"/>
      <c r="F410" s="1224"/>
      <c r="I410" s="1140"/>
    </row>
    <row r="411" spans="1:9">
      <c r="A411" s="332"/>
      <c r="B411" s="332"/>
      <c r="C411" s="332"/>
      <c r="D411" s="1224"/>
      <c r="E411" s="1224"/>
      <c r="F411" s="1224"/>
      <c r="I411" s="1140"/>
    </row>
    <row r="412" spans="1:9">
      <c r="A412" s="332"/>
      <c r="B412" s="332"/>
      <c r="C412" s="332"/>
      <c r="D412" s="1224"/>
      <c r="E412" s="1224"/>
      <c r="F412" s="1224"/>
      <c r="I412" s="1140"/>
    </row>
    <row r="413" spans="1:9">
      <c r="A413" s="332"/>
      <c r="B413" s="332"/>
      <c r="C413" s="348"/>
      <c r="D413" s="1224"/>
      <c r="E413" s="1224"/>
      <c r="F413" s="1224"/>
      <c r="I413" s="1140"/>
    </row>
    <row r="414" spans="1:9">
      <c r="A414" s="332"/>
      <c r="B414" s="332"/>
      <c r="C414" s="348"/>
      <c r="D414" s="1224"/>
      <c r="E414" s="1224"/>
      <c r="F414" s="1224"/>
      <c r="I414" s="1140"/>
    </row>
    <row r="415" spans="1:9">
      <c r="A415" s="332"/>
      <c r="B415" s="332"/>
      <c r="C415" s="332"/>
      <c r="D415" s="1224"/>
      <c r="E415" s="1224"/>
      <c r="F415" s="1224"/>
      <c r="I415" s="1140"/>
    </row>
    <row r="416" spans="1:9">
      <c r="A416" s="332"/>
      <c r="B416" s="332"/>
      <c r="C416" s="348"/>
      <c r="D416" s="1224"/>
      <c r="E416" s="1224"/>
      <c r="F416" s="1224"/>
      <c r="I416" s="1140"/>
    </row>
    <row r="417" spans="1:9">
      <c r="A417" s="332"/>
      <c r="B417" s="332"/>
      <c r="C417" s="348"/>
      <c r="D417" s="1224"/>
      <c r="E417" s="1224"/>
      <c r="F417" s="1224"/>
      <c r="I417" s="1140"/>
    </row>
    <row r="418" spans="1:9">
      <c r="A418" s="332"/>
      <c r="B418" s="332"/>
      <c r="C418" s="348"/>
      <c r="D418" s="1224"/>
      <c r="E418" s="1224"/>
      <c r="F418" s="1224"/>
      <c r="I418" s="1140"/>
    </row>
    <row r="419" spans="1:9">
      <c r="A419" s="332"/>
      <c r="B419" s="332"/>
      <c r="C419" s="332"/>
      <c r="D419" s="1139"/>
      <c r="E419" s="1139"/>
      <c r="F419" s="1131"/>
      <c r="I419" s="1140"/>
    </row>
    <row r="420" spans="1:9">
      <c r="A420" s="332"/>
      <c r="B420" s="338" t="s">
        <v>314</v>
      </c>
      <c r="C420" s="332"/>
      <c r="D420" s="1224" t="s">
        <v>422</v>
      </c>
      <c r="E420" s="1224"/>
      <c r="F420" s="1224"/>
      <c r="I420" s="1140"/>
    </row>
    <row r="421" spans="1:9">
      <c r="A421" s="332"/>
      <c r="B421" s="332"/>
      <c r="C421" s="332"/>
      <c r="D421" s="1224"/>
      <c r="E421" s="1224"/>
      <c r="F421" s="1224"/>
      <c r="I421" s="1140"/>
    </row>
    <row r="422" spans="1:9">
      <c r="A422" s="332"/>
      <c r="B422" s="332"/>
      <c r="C422" s="332"/>
      <c r="D422" s="1117"/>
      <c r="E422" s="1117"/>
      <c r="F422" s="1117"/>
      <c r="I422" s="1140"/>
    </row>
    <row r="423" spans="1:9" ht="14.5" customHeight="1">
      <c r="A423" s="337"/>
      <c r="B423" s="338" t="s">
        <v>314</v>
      </c>
      <c r="D423" s="1224" t="s">
        <v>423</v>
      </c>
      <c r="E423" s="1224"/>
      <c r="F423" s="1224"/>
      <c r="I423" s="1140"/>
    </row>
    <row r="424" spans="1:9" ht="14.5" customHeight="1">
      <c r="A424" s="337"/>
      <c r="D424" s="1224"/>
      <c r="E424" s="1224"/>
      <c r="F424" s="1224"/>
      <c r="I424" s="1140"/>
    </row>
    <row r="425" spans="1:9" ht="14.5" customHeight="1">
      <c r="A425" s="337"/>
      <c r="D425" s="1224"/>
      <c r="E425" s="1224"/>
      <c r="F425" s="1224"/>
      <c r="I425" s="1140"/>
    </row>
    <row r="426" spans="1:9" ht="14.5" customHeight="1">
      <c r="A426" s="337"/>
      <c r="D426" s="1224"/>
      <c r="E426" s="1224"/>
      <c r="F426" s="1224"/>
      <c r="I426" s="1140"/>
    </row>
    <row r="427" spans="1:9" ht="14.5" customHeight="1">
      <c r="A427" s="337"/>
      <c r="D427" s="1224"/>
      <c r="E427" s="1224"/>
      <c r="F427" s="1224"/>
      <c r="I427" s="1140"/>
    </row>
    <row r="428" spans="1:9" ht="14.5" customHeight="1">
      <c r="A428" s="337"/>
      <c r="D428" s="1138"/>
      <c r="E428" s="1138"/>
      <c r="F428" s="1138"/>
      <c r="I428" s="1140"/>
    </row>
    <row r="429" spans="1:9" ht="13.75" customHeight="1">
      <c r="A429" s="337"/>
      <c r="B429" s="338" t="s">
        <v>314</v>
      </c>
      <c r="C429" s="332"/>
      <c r="D429" s="1224" t="s">
        <v>424</v>
      </c>
      <c r="E429" s="1224"/>
      <c r="F429" s="1224"/>
      <c r="I429" s="1140"/>
    </row>
    <row r="430" spans="1:9">
      <c r="A430" s="349"/>
      <c r="B430" s="349"/>
      <c r="C430" s="332"/>
      <c r="D430" s="1224"/>
      <c r="E430" s="1224"/>
      <c r="F430" s="1224"/>
      <c r="I430" s="1140"/>
    </row>
    <row r="431" spans="1:9">
      <c r="A431" s="349"/>
      <c r="B431" s="349"/>
      <c r="C431" s="332"/>
      <c r="D431" s="1224"/>
      <c r="E431" s="1224"/>
      <c r="F431" s="1224"/>
      <c r="I431" s="1140"/>
    </row>
    <row r="432" spans="1:9">
      <c r="A432" s="349"/>
      <c r="B432" s="349"/>
      <c r="C432" s="332"/>
      <c r="D432" s="1224"/>
      <c r="E432" s="1224"/>
      <c r="F432" s="1224"/>
      <c r="I432" s="1140"/>
    </row>
    <row r="433" spans="1:9" ht="15.75" customHeight="1">
      <c r="A433" s="349"/>
      <c r="B433" s="349"/>
      <c r="C433" s="332"/>
      <c r="D433" s="1258" t="s">
        <v>425</v>
      </c>
      <c r="E433" s="1224"/>
      <c r="F433" s="1224"/>
      <c r="I433" s="1140"/>
    </row>
    <row r="434" spans="1:9">
      <c r="D434" s="1131"/>
      <c r="E434" s="1131"/>
      <c r="F434" s="1131"/>
      <c r="I434" s="1140"/>
    </row>
    <row r="435" spans="1:9">
      <c r="A435" s="337"/>
      <c r="B435" s="338" t="s">
        <v>314</v>
      </c>
      <c r="C435" s="340"/>
      <c r="D435" s="1244" t="s">
        <v>426</v>
      </c>
      <c r="E435" s="1244"/>
      <c r="F435" s="1244"/>
      <c r="I435" s="1140"/>
    </row>
    <row r="436" spans="1:9">
      <c r="A436" s="337"/>
      <c r="B436" s="337"/>
      <c r="D436" s="1244"/>
      <c r="E436" s="1244"/>
      <c r="F436" s="1244"/>
      <c r="I436" s="1140"/>
    </row>
    <row r="437" spans="1:9">
      <c r="D437" s="1244"/>
      <c r="E437" s="1244"/>
      <c r="F437" s="1244"/>
      <c r="I437" s="1140"/>
    </row>
    <row r="438" spans="1:9">
      <c r="D438" s="1244"/>
      <c r="E438" s="1244"/>
      <c r="F438" s="1244"/>
      <c r="I438" s="1140"/>
    </row>
    <row r="439" spans="1:9">
      <c r="D439" s="1244"/>
      <c r="E439" s="1244"/>
      <c r="F439" s="1244"/>
      <c r="I439" s="1140"/>
    </row>
    <row r="440" spans="1:9">
      <c r="D440" s="1244"/>
      <c r="E440" s="1244"/>
      <c r="F440" s="1244"/>
      <c r="I440" s="1140"/>
    </row>
    <row r="441" spans="1:9">
      <c r="D441" s="1244"/>
      <c r="E441" s="1244"/>
      <c r="F441" s="1244"/>
      <c r="I441" s="1140"/>
    </row>
    <row r="442" spans="1:9">
      <c r="D442" s="1244"/>
      <c r="E442" s="1244"/>
      <c r="F442" s="1244"/>
      <c r="I442" s="1140"/>
    </row>
    <row r="443" spans="1:9">
      <c r="D443" s="1244"/>
      <c r="E443" s="1244"/>
      <c r="F443" s="1244"/>
      <c r="I443" s="1140"/>
    </row>
    <row r="444" spans="1:9">
      <c r="D444" s="1244"/>
      <c r="E444" s="1244"/>
      <c r="F444" s="1244"/>
      <c r="I444" s="1140"/>
    </row>
    <row r="445" spans="1:9">
      <c r="D445" s="1244"/>
      <c r="E445" s="1244"/>
      <c r="F445" s="1244"/>
      <c r="I445" s="1140"/>
    </row>
    <row r="446" spans="1:9">
      <c r="D446" s="1244"/>
      <c r="E446" s="1244"/>
      <c r="F446" s="1244"/>
      <c r="I446" s="1140"/>
    </row>
    <row r="447" spans="1:9">
      <c r="D447" s="1244"/>
      <c r="E447" s="1244"/>
      <c r="F447" s="1244"/>
      <c r="I447" s="1140"/>
    </row>
    <row r="448" spans="1:9">
      <c r="A448" s="272"/>
      <c r="B448" s="272"/>
      <c r="C448" s="272"/>
      <c r="D448" s="1244"/>
      <c r="E448" s="1244"/>
      <c r="F448" s="1244"/>
      <c r="I448" s="1140"/>
    </row>
    <row r="449" spans="1:9">
      <c r="A449" s="272"/>
      <c r="B449" s="272"/>
      <c r="C449" s="272"/>
      <c r="D449" s="1244"/>
      <c r="E449" s="1244"/>
      <c r="F449" s="1244"/>
      <c r="I449" s="1140"/>
    </row>
    <row r="450" spans="1:9">
      <c r="A450" s="272"/>
      <c r="B450" s="272"/>
      <c r="C450" s="272"/>
      <c r="D450" s="1244"/>
      <c r="E450" s="1244"/>
      <c r="F450" s="1244"/>
      <c r="I450" s="1140"/>
    </row>
    <row r="451" spans="1:9">
      <c r="A451" s="272"/>
      <c r="B451" s="272"/>
      <c r="C451" s="272"/>
      <c r="D451" s="1244"/>
      <c r="E451" s="1244"/>
      <c r="F451" s="1244"/>
      <c r="I451" s="1140"/>
    </row>
    <row r="452" spans="1:9">
      <c r="A452" s="272"/>
      <c r="B452" s="272"/>
      <c r="C452" s="272"/>
      <c r="D452" s="1244"/>
      <c r="E452" s="1244"/>
      <c r="F452" s="1244"/>
      <c r="I452" s="1140"/>
    </row>
    <row r="453" spans="1:9">
      <c r="A453" s="272"/>
      <c r="B453" s="272"/>
      <c r="C453" s="272"/>
      <c r="D453" s="1244"/>
      <c r="E453" s="1244"/>
      <c r="F453" s="1244"/>
      <c r="I453" s="1140"/>
    </row>
    <row r="454" spans="1:9">
      <c r="A454" s="272"/>
      <c r="B454" s="272"/>
      <c r="C454" s="272"/>
      <c r="D454" s="1244"/>
      <c r="E454" s="1244"/>
      <c r="F454" s="1244"/>
      <c r="I454" s="1140"/>
    </row>
    <row r="455" spans="1:9">
      <c r="A455" s="272"/>
      <c r="B455" s="272"/>
      <c r="C455" s="272"/>
      <c r="D455" s="1244"/>
      <c r="E455" s="1244"/>
      <c r="F455" s="1244"/>
      <c r="I455" s="1140"/>
    </row>
    <row r="456" spans="1:9">
      <c r="A456" s="272"/>
      <c r="B456" s="272"/>
      <c r="C456" s="272"/>
      <c r="D456" s="1244"/>
      <c r="E456" s="1244"/>
      <c r="F456" s="1244"/>
      <c r="I456" s="1140"/>
    </row>
    <row r="457" spans="1:9">
      <c r="A457" s="272"/>
      <c r="B457" s="272"/>
      <c r="C457" s="272"/>
      <c r="D457" s="1244"/>
      <c r="E457" s="1244"/>
      <c r="F457" s="1244"/>
      <c r="I457" s="1140"/>
    </row>
    <row r="458" spans="1:9">
      <c r="A458" s="272"/>
      <c r="B458" s="272"/>
      <c r="C458" s="272"/>
      <c r="D458" s="1244"/>
      <c r="E458" s="1244"/>
      <c r="F458" s="1244"/>
      <c r="I458" s="1140"/>
    </row>
    <row r="459" spans="1:9">
      <c r="A459" s="272"/>
      <c r="B459" s="272"/>
      <c r="C459" s="272"/>
      <c r="D459" s="1244"/>
      <c r="E459" s="1244"/>
      <c r="F459" s="1244"/>
      <c r="I459" s="1140"/>
    </row>
    <row r="460" spans="1:9">
      <c r="A460" s="272"/>
      <c r="B460" s="272"/>
      <c r="C460" s="272"/>
      <c r="D460" s="1244"/>
      <c r="E460" s="1244"/>
      <c r="F460" s="1244"/>
      <c r="I460" s="1140"/>
    </row>
    <row r="461" spans="1:9">
      <c r="A461" s="272"/>
      <c r="B461" s="272"/>
      <c r="C461" s="272"/>
      <c r="D461" s="1244"/>
      <c r="E461" s="1244"/>
      <c r="F461" s="1244"/>
      <c r="I461" s="1140"/>
    </row>
    <row r="462" spans="1:9">
      <c r="A462" s="272"/>
      <c r="B462" s="272"/>
      <c r="C462" s="272"/>
      <c r="D462" s="1244"/>
      <c r="E462" s="1244"/>
      <c r="F462" s="1244"/>
      <c r="I462" s="1140"/>
    </row>
    <row r="463" spans="1:9">
      <c r="A463" s="272"/>
      <c r="B463" s="272"/>
      <c r="C463" s="272"/>
      <c r="D463" s="1244"/>
      <c r="E463" s="1244"/>
      <c r="F463" s="1244"/>
      <c r="I463" s="1140"/>
    </row>
    <row r="464" spans="1:9">
      <c r="D464" s="1244"/>
      <c r="E464" s="1244"/>
      <c r="F464" s="1244"/>
      <c r="I464" s="1140"/>
    </row>
    <row r="465" spans="1:9" ht="40.75" customHeight="1">
      <c r="D465" s="1244"/>
      <c r="E465" s="1244"/>
      <c r="F465" s="1244"/>
      <c r="I465" s="1140"/>
    </row>
    <row r="466" spans="1:9">
      <c r="D466" s="1131"/>
      <c r="E466" s="1131"/>
      <c r="F466" s="1131"/>
      <c r="I466" s="1140"/>
    </row>
    <row r="467" spans="1:9">
      <c r="A467" s="337"/>
      <c r="B467" s="338" t="s">
        <v>314</v>
      </c>
      <c r="C467" s="340"/>
      <c r="D467" s="1244" t="s">
        <v>427</v>
      </c>
      <c r="E467" s="1244"/>
      <c r="F467" s="1244"/>
      <c r="I467" s="1140"/>
    </row>
    <row r="468" spans="1:9">
      <c r="D468" s="1244"/>
      <c r="E468" s="1244"/>
      <c r="F468" s="1244"/>
      <c r="I468" s="1140"/>
    </row>
    <row r="469" spans="1:9">
      <c r="D469" s="1244"/>
      <c r="E469" s="1244"/>
      <c r="F469" s="1244"/>
      <c r="I469" s="1140"/>
    </row>
    <row r="470" spans="1:9">
      <c r="D470" s="1132"/>
      <c r="E470" s="1132"/>
      <c r="F470" s="1132"/>
      <c r="I470" s="1140"/>
    </row>
    <row r="471" spans="1:9">
      <c r="B471" s="338" t="s">
        <v>314</v>
      </c>
      <c r="C471" s="337"/>
      <c r="D471" s="1244" t="s">
        <v>428</v>
      </c>
      <c r="E471" s="1244"/>
      <c r="F471" s="1244"/>
      <c r="I471" s="1140"/>
    </row>
    <row r="472" spans="1:9">
      <c r="D472" s="1244"/>
      <c r="E472" s="1244"/>
      <c r="F472" s="1244"/>
      <c r="I472" s="1140"/>
    </row>
    <row r="473" spans="1:9">
      <c r="D473" s="1131"/>
      <c r="E473" s="1131"/>
      <c r="F473" s="1131"/>
      <c r="I473" s="1140"/>
    </row>
    <row r="474" spans="1:9">
      <c r="B474" s="338" t="s">
        <v>314</v>
      </c>
      <c r="C474" s="337"/>
      <c r="D474" s="1244" t="s">
        <v>429</v>
      </c>
      <c r="E474" s="1244"/>
      <c r="F474" s="1244"/>
      <c r="I474" s="1140"/>
    </row>
    <row r="475" spans="1:9">
      <c r="D475" s="1244"/>
      <c r="E475" s="1244"/>
      <c r="F475" s="1244"/>
      <c r="I475" s="1140"/>
    </row>
    <row r="476" spans="1:9">
      <c r="D476" s="1244"/>
      <c r="E476" s="1244"/>
      <c r="F476" s="1244"/>
      <c r="I476" s="1140"/>
    </row>
    <row r="477" spans="1:9">
      <c r="D477" s="1244"/>
      <c r="E477" s="1244"/>
      <c r="F477" s="1244"/>
      <c r="I477" s="1140"/>
    </row>
    <row r="478" spans="1:9">
      <c r="B478" s="338" t="s">
        <v>314</v>
      </c>
      <c r="D478" s="1244"/>
      <c r="E478" s="1244"/>
      <c r="F478" s="1244"/>
      <c r="I478" s="1140"/>
    </row>
    <row r="479" spans="1:9">
      <c r="A479" s="272"/>
      <c r="B479" s="272"/>
      <c r="C479" s="272"/>
      <c r="D479" s="1244"/>
      <c r="E479" s="1244"/>
      <c r="F479" s="1244"/>
      <c r="I479" s="1140"/>
    </row>
    <row r="480" spans="1:9">
      <c r="A480" s="272"/>
      <c r="C480" s="272"/>
      <c r="D480" s="1244"/>
      <c r="E480" s="1244"/>
      <c r="F480" s="1244"/>
      <c r="I480" s="1140"/>
    </row>
    <row r="481" spans="1:9">
      <c r="A481" s="272"/>
      <c r="B481" s="338" t="s">
        <v>314</v>
      </c>
      <c r="C481" s="272"/>
      <c r="D481" s="1244"/>
      <c r="E481" s="1244"/>
      <c r="F481" s="1244"/>
      <c r="I481" s="1140"/>
    </row>
    <row r="482" spans="1:9">
      <c r="A482" s="272"/>
      <c r="B482" s="272"/>
      <c r="C482" s="272"/>
      <c r="D482" s="1244"/>
      <c r="E482" s="1244"/>
      <c r="F482" s="1244"/>
      <c r="I482" s="1140"/>
    </row>
    <row r="483" spans="1:9">
      <c r="A483" s="272"/>
      <c r="C483" s="272"/>
      <c r="D483" s="1244"/>
      <c r="E483" s="1244"/>
      <c r="F483" s="1244"/>
      <c r="I483" s="1140"/>
    </row>
    <row r="484" spans="1:9">
      <c r="A484" s="272"/>
      <c r="C484" s="272"/>
      <c r="D484" s="1244"/>
      <c r="E484" s="1244"/>
      <c r="F484" s="1244"/>
      <c r="I484" s="1140"/>
    </row>
    <row r="485" spans="1:9">
      <c r="A485" s="272"/>
      <c r="C485" s="272"/>
      <c r="D485" s="1244"/>
      <c r="E485" s="1244"/>
      <c r="F485" s="1244"/>
      <c r="I485" s="1140"/>
    </row>
    <row r="486" spans="1:9">
      <c r="A486" s="272"/>
      <c r="B486" s="338" t="s">
        <v>314</v>
      </c>
      <c r="C486" s="272"/>
      <c r="D486" s="1244"/>
      <c r="E486" s="1244"/>
      <c r="F486" s="1244"/>
      <c r="I486" s="1140"/>
    </row>
    <row r="487" spans="1:9">
      <c r="A487" s="272"/>
      <c r="C487" s="272"/>
      <c r="D487" s="1244"/>
      <c r="E487" s="1244"/>
      <c r="F487" s="1244"/>
      <c r="I487" s="1140"/>
    </row>
    <row r="488" spans="1:9">
      <c r="A488" s="272"/>
      <c r="B488" s="338" t="s">
        <v>314</v>
      </c>
      <c r="C488" s="272"/>
      <c r="D488" s="1244" t="s">
        <v>430</v>
      </c>
      <c r="E488" s="1244"/>
      <c r="F488" s="1244"/>
      <c r="I488" s="1140"/>
    </row>
    <row r="489" spans="1:9">
      <c r="A489" s="272"/>
      <c r="B489" s="272"/>
      <c r="C489" s="272"/>
      <c r="D489" s="1244"/>
      <c r="E489" s="1244"/>
      <c r="F489" s="1244"/>
      <c r="I489" s="1140"/>
    </row>
    <row r="490" spans="1:9">
      <c r="A490" s="272"/>
      <c r="B490" s="272"/>
      <c r="C490" s="272"/>
      <c r="D490" s="1244"/>
      <c r="E490" s="1244"/>
      <c r="F490" s="1244"/>
      <c r="I490" s="1140"/>
    </row>
    <row r="491" spans="1:9">
      <c r="A491" s="272"/>
      <c r="B491" s="272"/>
      <c r="C491" s="272"/>
      <c r="D491" s="1244"/>
      <c r="E491" s="1244"/>
      <c r="F491" s="1244"/>
      <c r="I491" s="1140"/>
    </row>
    <row r="492" spans="1:9">
      <c r="D492" s="1244"/>
      <c r="E492" s="1244"/>
      <c r="F492" s="1244"/>
      <c r="I492" s="1140"/>
    </row>
    <row r="493" spans="1:9">
      <c r="D493" s="1131"/>
      <c r="E493" s="1131"/>
      <c r="F493" s="1131"/>
      <c r="I493" s="1140"/>
    </row>
    <row r="494" spans="1:9">
      <c r="B494" s="338" t="s">
        <v>314</v>
      </c>
      <c r="D494" s="1245" t="s">
        <v>431</v>
      </c>
      <c r="E494" s="1245"/>
      <c r="F494" s="1245"/>
      <c r="I494" s="1140"/>
    </row>
    <row r="495" spans="1:9">
      <c r="A495" s="1131"/>
      <c r="B495" s="1131"/>
      <c r="I495" s="1140"/>
    </row>
    <row r="496" spans="1:9">
      <c r="A496" s="1247" t="s">
        <v>432</v>
      </c>
      <c r="B496" s="1247"/>
      <c r="C496" s="1247"/>
      <c r="D496" s="1247"/>
      <c r="E496" s="1247"/>
      <c r="F496" s="1247"/>
      <c r="G496" s="1247"/>
      <c r="H496" s="815"/>
      <c r="I496" s="936"/>
    </row>
    <row r="497" spans="1:9">
      <c r="A497" s="1131"/>
      <c r="B497" s="1131"/>
      <c r="I497" s="1140"/>
    </row>
    <row r="498" spans="1:9">
      <c r="D498" s="1260" t="s">
        <v>433</v>
      </c>
      <c r="E498" s="1260"/>
      <c r="F498" s="1260"/>
      <c r="I498" s="1140"/>
    </row>
    <row r="499" spans="1:9">
      <c r="A499" s="337"/>
      <c r="B499" s="337"/>
      <c r="D499" s="1256" t="s">
        <v>434</v>
      </c>
      <c r="E499" s="1256"/>
      <c r="F499" s="1256"/>
      <c r="I499" s="1140"/>
    </row>
    <row r="500" spans="1:9">
      <c r="A500" s="337"/>
      <c r="B500" s="337"/>
      <c r="D500" s="1139"/>
      <c r="I500" s="1140"/>
    </row>
    <row r="501" spans="1:9">
      <c r="A501" s="337"/>
      <c r="B501" s="338" t="s">
        <v>314</v>
      </c>
      <c r="D501" s="1224" t="s">
        <v>435</v>
      </c>
      <c r="E501" s="1224"/>
      <c r="F501" s="1224"/>
      <c r="I501" s="1140"/>
    </row>
    <row r="502" spans="1:9">
      <c r="A502" s="337"/>
      <c r="B502" s="337"/>
      <c r="D502" s="1224"/>
      <c r="E502" s="1224"/>
      <c r="F502" s="1224"/>
      <c r="I502" s="1140"/>
    </row>
    <row r="503" spans="1:9">
      <c r="A503" s="337"/>
      <c r="B503" s="337"/>
      <c r="D503" s="1131"/>
      <c r="I503" s="1140"/>
    </row>
    <row r="504" spans="1:9" ht="12.75" customHeight="1">
      <c r="B504" s="338" t="s">
        <v>314</v>
      </c>
      <c r="D504" s="1248" t="s">
        <v>436</v>
      </c>
      <c r="E504" s="1248"/>
      <c r="F504" s="1248"/>
      <c r="I504" s="1140"/>
    </row>
    <row r="505" spans="1:9">
      <c r="A505" s="337"/>
      <c r="D505" s="1248"/>
      <c r="E505" s="1248"/>
      <c r="F505" s="1248"/>
      <c r="I505" s="1140"/>
    </row>
    <row r="506" spans="1:9">
      <c r="A506" s="337"/>
      <c r="B506" s="337"/>
      <c r="D506" s="1248"/>
      <c r="E506" s="1248"/>
      <c r="F506" s="1248"/>
      <c r="I506" s="1140"/>
    </row>
    <row r="507" spans="1:9">
      <c r="A507" s="337"/>
      <c r="B507" s="337"/>
      <c r="D507" s="1248"/>
      <c r="E507" s="1248"/>
      <c r="F507" s="1248"/>
      <c r="I507" s="1140"/>
    </row>
    <row r="508" spans="1:9">
      <c r="A508" s="337"/>
      <c r="D508" s="370"/>
      <c r="E508" s="370"/>
      <c r="F508" s="370"/>
      <c r="I508" s="1140"/>
    </row>
    <row r="509" spans="1:9">
      <c r="A509" s="337"/>
      <c r="B509" s="338" t="s">
        <v>314</v>
      </c>
      <c r="D509" s="1245" t="s">
        <v>437</v>
      </c>
      <c r="E509" s="1245"/>
      <c r="F509" s="1245"/>
      <c r="I509" s="1140"/>
    </row>
    <row r="510" spans="1:9">
      <c r="A510" s="337"/>
      <c r="B510" s="337"/>
      <c r="D510" s="1131"/>
      <c r="I510" s="1140"/>
    </row>
    <row r="511" spans="1:9">
      <c r="A511" s="337"/>
      <c r="B511" s="338" t="s">
        <v>314</v>
      </c>
      <c r="D511" s="1244" t="s">
        <v>438</v>
      </c>
      <c r="E511" s="1244"/>
      <c r="F511" s="1244"/>
      <c r="I511" s="1140"/>
    </row>
    <row r="512" spans="1:9">
      <c r="A512" s="337"/>
      <c r="D512" s="1244"/>
      <c r="E512" s="1244"/>
      <c r="F512" s="1244"/>
      <c r="I512" s="1140"/>
    </row>
    <row r="513" spans="1:9">
      <c r="A513" s="1140"/>
      <c r="B513" s="1140"/>
      <c r="D513" s="1139"/>
      <c r="I513" s="1140"/>
    </row>
    <row r="514" spans="1:9">
      <c r="A514" s="1140"/>
      <c r="B514" s="338" t="s">
        <v>314</v>
      </c>
      <c r="D514" s="1245" t="s">
        <v>439</v>
      </c>
      <c r="E514" s="1245"/>
      <c r="F514" s="1245"/>
      <c r="I514" s="1140"/>
    </row>
    <row r="515" spans="1:9">
      <c r="D515" s="1131"/>
      <c r="E515" s="1131"/>
      <c r="F515" s="1131"/>
      <c r="I515" s="1140"/>
    </row>
    <row r="516" spans="1:9">
      <c r="B516" s="338" t="s">
        <v>314</v>
      </c>
      <c r="D516" s="1244" t="s">
        <v>440</v>
      </c>
      <c r="E516" s="1244"/>
      <c r="F516" s="1244"/>
      <c r="I516" s="1140"/>
    </row>
    <row r="517" spans="1:9">
      <c r="D517" s="1244"/>
      <c r="E517" s="1244"/>
      <c r="F517" s="1244"/>
      <c r="I517" s="1140"/>
    </row>
    <row r="518" spans="1:9">
      <c r="D518" s="1244"/>
      <c r="E518" s="1244"/>
      <c r="F518" s="1244"/>
      <c r="I518" s="1140"/>
    </row>
    <row r="519" spans="1:9">
      <c r="D519" s="1131"/>
      <c r="E519" s="1131"/>
      <c r="F519" s="1131"/>
      <c r="I519" s="1140"/>
    </row>
    <row r="520" spans="1:9">
      <c r="A520" s="337"/>
      <c r="B520" s="337"/>
      <c r="D520" s="1131"/>
      <c r="I520" s="1140"/>
    </row>
    <row r="521" spans="1:9">
      <c r="A521" s="1247" t="s">
        <v>441</v>
      </c>
      <c r="B521" s="1247"/>
      <c r="C521" s="1247"/>
      <c r="D521" s="1247"/>
      <c r="E521" s="1247"/>
      <c r="F521" s="1247"/>
      <c r="G521" s="1247"/>
      <c r="H521" s="815"/>
      <c r="I521" s="936"/>
    </row>
    <row r="522" spans="1:9" ht="12" customHeight="1">
      <c r="A522" s="337"/>
      <c r="B522" s="337"/>
      <c r="D522" s="1131"/>
      <c r="I522" s="1140"/>
    </row>
    <row r="523" spans="1:9">
      <c r="C523" s="1143"/>
      <c r="D523" s="1252" t="s">
        <v>442</v>
      </c>
      <c r="E523" s="1252"/>
      <c r="F523" s="1252"/>
      <c r="I523" s="1140"/>
    </row>
    <row r="524" spans="1:9">
      <c r="C524" s="1143"/>
      <c r="D524" s="358" t="s">
        <v>443</v>
      </c>
      <c r="E524" s="358"/>
      <c r="F524" s="358"/>
      <c r="I524" s="1140"/>
    </row>
    <row r="525" spans="1:9">
      <c r="C525" s="1143"/>
      <c r="D525" s="358" t="s">
        <v>444</v>
      </c>
      <c r="E525" s="358"/>
      <c r="F525" s="358"/>
      <c r="I525" s="1140"/>
    </row>
    <row r="526" spans="1:9">
      <c r="C526" s="1143"/>
      <c r="D526" s="1136"/>
      <c r="E526" s="1136"/>
      <c r="F526" s="1136"/>
      <c r="I526" s="1140"/>
    </row>
    <row r="527" spans="1:9" ht="13.75" customHeight="1">
      <c r="A527" s="336"/>
      <c r="B527" s="338" t="s">
        <v>309</v>
      </c>
      <c r="C527" s="336"/>
      <c r="D527" s="1224" t="s">
        <v>445</v>
      </c>
      <c r="E527" s="1224"/>
      <c r="F527" s="1224"/>
      <c r="I527" s="1140"/>
    </row>
    <row r="528" spans="1:9">
      <c r="A528" s="336"/>
      <c r="B528" s="336"/>
      <c r="C528" s="336"/>
      <c r="D528" s="1224"/>
      <c r="E528" s="1224"/>
      <c r="F528" s="1224"/>
      <c r="I528" s="1140"/>
    </row>
    <row r="529" spans="1:9">
      <c r="A529" s="336"/>
      <c r="B529" s="336"/>
      <c r="C529" s="336"/>
      <c r="D529" s="1117"/>
      <c r="E529" s="1117"/>
      <c r="F529" s="1117"/>
      <c r="I529" s="335"/>
    </row>
    <row r="530" spans="1:9" ht="12.75" customHeight="1">
      <c r="A530" s="336"/>
      <c r="B530" s="338" t="s">
        <v>309</v>
      </c>
      <c r="D530" s="258" t="s">
        <v>446</v>
      </c>
      <c r="E530" s="1138"/>
      <c r="F530" s="1138"/>
      <c r="I530" s="1140"/>
    </row>
    <row r="531" spans="1:9">
      <c r="A531" s="336"/>
      <c r="B531" s="336"/>
      <c r="C531" s="336"/>
      <c r="D531" s="1138"/>
      <c r="E531" s="55" t="s">
        <v>447</v>
      </c>
      <c r="I531" s="1140"/>
    </row>
    <row r="532" spans="1:9">
      <c r="A532" s="336"/>
      <c r="B532" s="336"/>
      <c r="D532" s="1241" t="s">
        <v>448</v>
      </c>
      <c r="E532" s="1241"/>
      <c r="F532" s="1241"/>
      <c r="I532" s="1140"/>
    </row>
    <row r="533" spans="1:9">
      <c r="A533" s="336"/>
      <c r="B533" s="336"/>
      <c r="D533" s="1241"/>
      <c r="E533" s="1241"/>
      <c r="F533" s="1241"/>
      <c r="I533" s="1140"/>
    </row>
    <row r="534" spans="1:9">
      <c r="A534" s="336"/>
      <c r="B534" s="336"/>
      <c r="C534" s="336"/>
      <c r="D534" s="1241"/>
      <c r="E534" s="1241"/>
      <c r="F534" s="1241"/>
      <c r="I534" s="1140"/>
    </row>
    <row r="535" spans="1:9">
      <c r="A535" s="336"/>
      <c r="B535" s="336"/>
      <c r="C535" s="336"/>
      <c r="D535" s="350"/>
      <c r="F535" s="1131"/>
      <c r="I535" s="1140"/>
    </row>
    <row r="536" spans="1:9" ht="13.4" customHeight="1">
      <c r="A536" s="336"/>
      <c r="B536" s="338" t="s">
        <v>314</v>
      </c>
      <c r="C536" s="336"/>
      <c r="D536" s="1244" t="s">
        <v>449</v>
      </c>
      <c r="E536" s="1244"/>
      <c r="F536" s="1244"/>
      <c r="I536" s="1140"/>
    </row>
    <row r="537" spans="1:9">
      <c r="A537" s="336"/>
      <c r="B537" s="336"/>
      <c r="C537" s="336"/>
      <c r="D537" s="1244"/>
      <c r="E537" s="1244"/>
      <c r="F537" s="1244"/>
      <c r="I537" s="1140"/>
    </row>
    <row r="538" spans="1:9" ht="12" customHeight="1">
      <c r="A538" s="1131"/>
      <c r="B538" s="1131"/>
      <c r="C538" s="340"/>
      <c r="D538" s="1131"/>
      <c r="F538" s="1142"/>
      <c r="I538" s="1140"/>
    </row>
    <row r="539" spans="1:9">
      <c r="A539" s="1247" t="s">
        <v>450</v>
      </c>
      <c r="B539" s="1247"/>
      <c r="C539" s="1247"/>
      <c r="D539" s="1247"/>
      <c r="E539" s="1247"/>
      <c r="F539" s="1247"/>
      <c r="G539" s="1247"/>
      <c r="H539" s="815"/>
      <c r="I539" s="936"/>
    </row>
    <row r="540" spans="1:9">
      <c r="A540" s="1131"/>
      <c r="B540" s="1131"/>
      <c r="C540" s="340"/>
      <c r="F540" s="1142"/>
      <c r="I540" s="1140"/>
    </row>
    <row r="541" spans="1:9">
      <c r="B541" s="1250" t="s">
        <v>348</v>
      </c>
      <c r="C541" s="1250"/>
      <c r="D541" s="1250"/>
      <c r="E541" s="1250"/>
      <c r="F541" s="1250"/>
      <c r="I541" s="1140"/>
    </row>
    <row r="542" spans="1:9">
      <c r="A542" s="1131"/>
      <c r="B542" s="1131"/>
      <c r="C542" s="340"/>
      <c r="D542" s="1131"/>
      <c r="F542" s="1131"/>
      <c r="I542" s="1140"/>
    </row>
    <row r="543" spans="1:9">
      <c r="A543" s="1251" t="s">
        <v>451</v>
      </c>
      <c r="B543" s="1251"/>
      <c r="C543" s="1251"/>
      <c r="D543" s="1251"/>
      <c r="E543" s="1251"/>
      <c r="F543" s="1251"/>
      <c r="G543" s="1251"/>
      <c r="H543" s="815"/>
      <c r="I543" s="936"/>
    </row>
    <row r="544" spans="1:9">
      <c r="A544" s="1131"/>
      <c r="B544" s="1131"/>
      <c r="C544" s="340"/>
      <c r="D544" s="1131"/>
      <c r="F544" s="1131"/>
      <c r="I544" s="1140"/>
    </row>
    <row r="545" spans="1:9">
      <c r="C545" s="340"/>
      <c r="D545" s="1252" t="s">
        <v>452</v>
      </c>
      <c r="E545" s="1252"/>
      <c r="F545" s="1252"/>
      <c r="I545" s="1140"/>
    </row>
    <row r="546" spans="1:9">
      <c r="C546" s="340"/>
      <c r="D546" s="1245" t="s">
        <v>453</v>
      </c>
      <c r="E546" s="1245"/>
      <c r="F546" s="1245"/>
      <c r="I546" s="1140"/>
    </row>
    <row r="547" spans="1:9">
      <c r="C547" s="340"/>
      <c r="D547" s="1131"/>
      <c r="E547" s="1131"/>
      <c r="F547" s="1131"/>
      <c r="I547" s="1140"/>
    </row>
    <row r="548" spans="1:9" ht="13.75" customHeight="1">
      <c r="A548" s="337"/>
      <c r="B548" s="338" t="s">
        <v>309</v>
      </c>
      <c r="C548" s="340"/>
      <c r="D548" s="1245" t="s">
        <v>454</v>
      </c>
      <c r="E548" s="1245"/>
      <c r="F548" s="1245"/>
      <c r="I548" s="1140"/>
    </row>
    <row r="549" spans="1:9" ht="13.75" customHeight="1">
      <c r="A549" s="340"/>
      <c r="B549" s="340"/>
      <c r="C549" s="340"/>
      <c r="D549" s="1131"/>
      <c r="I549" s="1140"/>
    </row>
    <row r="550" spans="1:9">
      <c r="A550" s="337"/>
      <c r="B550" s="338" t="s">
        <v>309</v>
      </c>
      <c r="C550" s="340"/>
      <c r="D550" s="1244" t="s">
        <v>455</v>
      </c>
      <c r="E550" s="1244"/>
      <c r="F550" s="1244"/>
      <c r="I550" s="1140"/>
    </row>
    <row r="551" spans="1:9">
      <c r="A551" s="340"/>
      <c r="B551" s="340"/>
      <c r="C551" s="340"/>
      <c r="D551" s="1244"/>
      <c r="E551" s="1244"/>
      <c r="F551" s="1244"/>
      <c r="I551" s="1140"/>
    </row>
    <row r="552" spans="1:9">
      <c r="A552" s="340"/>
      <c r="B552" s="340"/>
      <c r="C552" s="340"/>
      <c r="D552" s="1131"/>
      <c r="E552" s="1131"/>
      <c r="F552" s="1131"/>
      <c r="I552" s="1140"/>
    </row>
    <row r="553" spans="1:9">
      <c r="A553" s="337"/>
      <c r="B553" s="338" t="s">
        <v>309</v>
      </c>
      <c r="C553" s="340"/>
      <c r="D553" s="1244" t="s">
        <v>456</v>
      </c>
      <c r="E553" s="1244"/>
      <c r="F553" s="1244"/>
      <c r="I553" s="1140"/>
    </row>
    <row r="554" spans="1:9">
      <c r="A554" s="340"/>
      <c r="B554" s="340"/>
      <c r="C554" s="340"/>
      <c r="D554" s="1244"/>
      <c r="E554" s="1244"/>
      <c r="F554" s="1244"/>
      <c r="I554" s="1140"/>
    </row>
    <row r="555" spans="1:9">
      <c r="A555" s="340"/>
      <c r="B555" s="340"/>
      <c r="C555" s="340"/>
      <c r="D555" s="1131"/>
      <c r="E555" s="1131"/>
      <c r="F555" s="1131"/>
      <c r="I555" s="1140"/>
    </row>
    <row r="556" spans="1:9">
      <c r="A556" s="337"/>
      <c r="B556" s="338" t="s">
        <v>309</v>
      </c>
      <c r="C556" s="340"/>
      <c r="D556" s="1244" t="s">
        <v>457</v>
      </c>
      <c r="E556" s="1244"/>
      <c r="F556" s="1244"/>
      <c r="I556" s="1140"/>
    </row>
    <row r="557" spans="1:9">
      <c r="A557" s="340"/>
      <c r="B557" s="340"/>
      <c r="C557" s="340"/>
      <c r="D557" s="1244"/>
      <c r="E557" s="1244"/>
      <c r="F557" s="1244"/>
      <c r="I557" s="1140"/>
    </row>
    <row r="558" spans="1:9">
      <c r="A558" s="340"/>
      <c r="B558" s="340"/>
      <c r="C558" s="340"/>
      <c r="D558" s="1131"/>
      <c r="E558" s="1131"/>
      <c r="F558" s="1131"/>
      <c r="I558" s="1140"/>
    </row>
    <row r="559" spans="1:9">
      <c r="A559" s="337"/>
      <c r="B559" s="338" t="s">
        <v>309</v>
      </c>
      <c r="C559" s="340"/>
      <c r="D559" s="1244" t="s">
        <v>458</v>
      </c>
      <c r="E559" s="1244"/>
      <c r="F559" s="1244"/>
      <c r="I559" s="1140"/>
    </row>
    <row r="560" spans="1:9">
      <c r="A560" s="340"/>
      <c r="B560" s="340"/>
      <c r="C560" s="340"/>
      <c r="D560" s="1244"/>
      <c r="E560" s="1244"/>
      <c r="F560" s="1244"/>
      <c r="I560" s="1140"/>
    </row>
    <row r="561" spans="1:9">
      <c r="A561" s="340"/>
      <c r="B561" s="340"/>
      <c r="C561" s="340"/>
      <c r="D561" s="1244"/>
      <c r="E561" s="1244"/>
      <c r="F561" s="1244"/>
      <c r="I561" s="1140"/>
    </row>
    <row r="562" spans="1:9">
      <c r="A562" s="340"/>
      <c r="B562" s="340"/>
      <c r="C562" s="340"/>
      <c r="D562" s="1131"/>
      <c r="E562" s="1131"/>
      <c r="F562" s="1131"/>
      <c r="I562" s="1140"/>
    </row>
    <row r="563" spans="1:9">
      <c r="A563" s="337"/>
      <c r="B563" s="338" t="s">
        <v>309</v>
      </c>
      <c r="C563" s="340"/>
      <c r="D563" s="1244" t="s">
        <v>459</v>
      </c>
      <c r="E563" s="1244"/>
      <c r="F563" s="1244"/>
      <c r="I563" s="1140"/>
    </row>
    <row r="564" spans="1:9">
      <c r="A564" s="340"/>
      <c r="B564" s="340"/>
      <c r="C564" s="340"/>
      <c r="D564" s="1244"/>
      <c r="E564" s="1244"/>
      <c r="F564" s="1244"/>
      <c r="I564" s="1140"/>
    </row>
    <row r="565" spans="1:9">
      <c r="A565" s="340"/>
      <c r="B565" s="340"/>
      <c r="C565" s="340"/>
      <c r="D565" s="1131"/>
      <c r="E565" s="1131"/>
      <c r="F565" s="1131"/>
      <c r="I565" s="1140"/>
    </row>
    <row r="566" spans="1:9">
      <c r="A566" s="337"/>
      <c r="B566" s="338" t="s">
        <v>314</v>
      </c>
      <c r="C566" s="340"/>
      <c r="D566" s="1244" t="s">
        <v>460</v>
      </c>
      <c r="E566" s="1244"/>
      <c r="F566" s="1244"/>
      <c r="I566" s="1140"/>
    </row>
    <row r="567" spans="1:9">
      <c r="A567" s="340"/>
      <c r="B567" s="340"/>
      <c r="C567" s="340"/>
      <c r="D567" s="1244"/>
      <c r="E567" s="1244"/>
      <c r="F567" s="1244"/>
      <c r="I567" s="1140"/>
    </row>
    <row r="568" spans="1:9">
      <c r="A568" s="340"/>
      <c r="B568" s="340"/>
      <c r="C568" s="340"/>
      <c r="D568" s="1131"/>
      <c r="E568" s="1131"/>
      <c r="F568" s="1131"/>
      <c r="I568" s="1140"/>
    </row>
    <row r="569" spans="1:9">
      <c r="A569" s="337"/>
      <c r="B569" s="338" t="s">
        <v>309</v>
      </c>
      <c r="C569" s="340"/>
      <c r="D569" s="1245" t="s">
        <v>461</v>
      </c>
      <c r="E569" s="1245"/>
      <c r="F569" s="1245"/>
      <c r="I569" s="1140"/>
    </row>
    <row r="570" spans="1:9">
      <c r="A570" s="1140"/>
      <c r="B570" s="1140"/>
      <c r="C570" s="340"/>
      <c r="D570" s="1245" t="s">
        <v>462</v>
      </c>
      <c r="E570" s="1245"/>
      <c r="F570" s="1245"/>
      <c r="I570" s="1140"/>
    </row>
    <row r="571" spans="1:9">
      <c r="A571" s="1140"/>
      <c r="B571" s="1140"/>
      <c r="C571" s="340"/>
      <c r="E571" s="55" t="s">
        <v>463</v>
      </c>
      <c r="F571" s="274"/>
      <c r="I571" s="1140"/>
    </row>
    <row r="572" spans="1:9">
      <c r="A572" s="337"/>
      <c r="B572" s="337"/>
      <c r="C572" s="340"/>
      <c r="E572" s="1131"/>
      <c r="F572" s="1131"/>
      <c r="I572" s="1140"/>
    </row>
    <row r="573" spans="1:9">
      <c r="A573" s="337"/>
      <c r="B573" s="338" t="s">
        <v>309</v>
      </c>
      <c r="C573" s="340"/>
      <c r="D573" s="1245" t="s">
        <v>464</v>
      </c>
      <c r="E573" s="1245"/>
      <c r="F573" s="1245"/>
      <c r="I573" s="1140"/>
    </row>
    <row r="574" spans="1:9">
      <c r="C574" s="340"/>
      <c r="D574" s="1244" t="s">
        <v>465</v>
      </c>
      <c r="E574" s="1244"/>
      <c r="F574" s="1244"/>
      <c r="I574" s="1140"/>
    </row>
    <row r="575" spans="1:9">
      <c r="A575" s="340"/>
      <c r="B575" s="340"/>
      <c r="C575" s="340"/>
      <c r="D575" s="1244"/>
      <c r="E575" s="1244"/>
      <c r="F575" s="1244"/>
      <c r="I575" s="1140"/>
    </row>
    <row r="576" spans="1:9">
      <c r="A576" s="340"/>
      <c r="B576" s="340"/>
      <c r="C576" s="340"/>
      <c r="D576" s="1244"/>
      <c r="E576" s="1244"/>
      <c r="F576" s="1244"/>
      <c r="I576" s="1140"/>
    </row>
    <row r="577" spans="1:9">
      <c r="A577" s="340"/>
      <c r="B577" s="340"/>
      <c r="C577" s="340"/>
      <c r="D577" s="1131"/>
      <c r="E577" s="1131"/>
      <c r="F577" s="1131"/>
      <c r="I577" s="1140"/>
    </row>
    <row r="578" spans="1:9">
      <c r="A578" s="337"/>
      <c r="B578" s="338" t="s">
        <v>309</v>
      </c>
      <c r="C578" s="340"/>
      <c r="D578" s="1244" t="s">
        <v>466</v>
      </c>
      <c r="E578" s="1244"/>
      <c r="F578" s="1244"/>
      <c r="I578" s="1140"/>
    </row>
    <row r="579" spans="1:9">
      <c r="A579" s="337"/>
      <c r="B579" s="337"/>
      <c r="C579" s="340"/>
      <c r="D579" s="1244"/>
      <c r="E579" s="1244"/>
      <c r="F579" s="1244"/>
      <c r="I579" s="1140"/>
    </row>
    <row r="580" spans="1:9">
      <c r="A580" s="337"/>
      <c r="B580" s="337"/>
      <c r="C580" s="340"/>
      <c r="D580" s="1244"/>
      <c r="E580" s="1244"/>
      <c r="F580" s="1244"/>
      <c r="I580" s="1140"/>
    </row>
    <row r="581" spans="1:9">
      <c r="A581" s="337"/>
      <c r="B581" s="337"/>
      <c r="C581" s="340"/>
      <c r="D581" s="1244"/>
      <c r="E581" s="1244"/>
      <c r="F581" s="1244"/>
      <c r="I581" s="1140"/>
    </row>
    <row r="582" spans="1:9">
      <c r="A582" s="337"/>
      <c r="B582" s="337"/>
      <c r="C582" s="340"/>
      <c r="D582" s="1131"/>
      <c r="E582" s="1131"/>
      <c r="F582" s="1131"/>
      <c r="I582" s="1140"/>
    </row>
    <row r="583" spans="1:9">
      <c r="A583" s="1247" t="s">
        <v>467</v>
      </c>
      <c r="B583" s="1247"/>
      <c r="C583" s="1247"/>
      <c r="D583" s="1247"/>
      <c r="E583" s="1247"/>
      <c r="F583" s="1247"/>
      <c r="G583" s="1247"/>
      <c r="H583" s="815"/>
      <c r="I583" s="936"/>
    </row>
    <row r="584" spans="1:9">
      <c r="A584" s="340"/>
      <c r="B584" s="340"/>
      <c r="C584" s="340"/>
      <c r="E584" s="1131"/>
      <c r="F584" s="1131"/>
      <c r="I584" s="1140"/>
    </row>
    <row r="585" spans="1:9" ht="12.75" customHeight="1">
      <c r="C585" s="1143"/>
      <c r="D585" s="1246" t="s">
        <v>468</v>
      </c>
      <c r="E585" s="1246"/>
      <c r="F585" s="1246"/>
      <c r="I585" s="1140"/>
    </row>
    <row r="586" spans="1:9">
      <c r="A586" s="336"/>
      <c r="B586" s="336"/>
      <c r="C586" s="336"/>
      <c r="D586" s="1248" t="s">
        <v>469</v>
      </c>
      <c r="E586" s="1248"/>
      <c r="F586" s="1248"/>
      <c r="I586" s="1140"/>
    </row>
    <row r="587" spans="1:9">
      <c r="A587" s="272"/>
      <c r="B587" s="272"/>
      <c r="C587" s="336"/>
      <c r="D587" s="351"/>
      <c r="I587" s="1140"/>
    </row>
    <row r="588" spans="1:9">
      <c r="A588" s="336"/>
      <c r="B588" s="338" t="s">
        <v>309</v>
      </c>
      <c r="D588" s="1248" t="s">
        <v>470</v>
      </c>
      <c r="E588" s="1248"/>
      <c r="F588" s="1248"/>
      <c r="I588" s="1140"/>
    </row>
    <row r="589" spans="1:9">
      <c r="A589" s="1140"/>
      <c r="B589" s="1140"/>
      <c r="D589" s="332"/>
      <c r="I589" s="1140"/>
    </row>
    <row r="590" spans="1:9">
      <c r="A590" s="1140"/>
      <c r="B590" s="338" t="s">
        <v>309</v>
      </c>
      <c r="D590" s="1248" t="s">
        <v>471</v>
      </c>
      <c r="E590" s="1248"/>
      <c r="F590" s="1248"/>
      <c r="I590" s="1140"/>
    </row>
    <row r="591" spans="1:9">
      <c r="A591" s="1140"/>
      <c r="B591" s="1140"/>
      <c r="D591" s="1248"/>
      <c r="E591" s="1248"/>
      <c r="F591" s="1248"/>
      <c r="I591" s="1140"/>
    </row>
    <row r="592" spans="1:9">
      <c r="A592" s="1140"/>
      <c r="B592" s="1140"/>
      <c r="D592" s="1248"/>
      <c r="E592" s="1248"/>
      <c r="F592" s="1248"/>
      <c r="I592" s="1140"/>
    </row>
    <row r="593" spans="1:9">
      <c r="A593" s="1140"/>
      <c r="B593" s="1140"/>
      <c r="D593" s="1248"/>
      <c r="E593" s="1248"/>
      <c r="F593" s="1248"/>
      <c r="I593" s="1140"/>
    </row>
    <row r="594" spans="1:9">
      <c r="A594" s="1140"/>
      <c r="B594" s="338" t="s">
        <v>314</v>
      </c>
      <c r="D594" s="1248" t="s">
        <v>472</v>
      </c>
      <c r="E594" s="1248"/>
      <c r="F594" s="1248"/>
      <c r="I594" s="1140"/>
    </row>
    <row r="595" spans="1:9">
      <c r="A595" s="1140"/>
      <c r="B595" s="1140"/>
      <c r="D595" s="1248"/>
      <c r="E595" s="1248"/>
      <c r="F595" s="1248"/>
      <c r="I595" s="1140"/>
    </row>
    <row r="596" spans="1:9">
      <c r="A596" s="1140"/>
      <c r="B596" s="1140"/>
      <c r="D596" s="1248"/>
      <c r="E596" s="1248"/>
      <c r="F596" s="1248"/>
      <c r="I596" s="1140"/>
    </row>
    <row r="597" spans="1:9">
      <c r="A597" s="1140"/>
      <c r="B597" s="1140"/>
      <c r="D597" s="1248"/>
      <c r="E597" s="1248"/>
      <c r="F597" s="1248"/>
      <c r="I597" s="1140"/>
    </row>
    <row r="598" spans="1:9">
      <c r="A598" s="1140"/>
      <c r="B598" s="1140"/>
      <c r="D598" s="1137"/>
      <c r="E598" s="1137"/>
      <c r="F598" s="1137"/>
      <c r="I598" s="1140"/>
    </row>
    <row r="599" spans="1:9">
      <c r="A599" s="1140"/>
      <c r="B599" s="338" t="s">
        <v>309</v>
      </c>
      <c r="D599" s="1248" t="s">
        <v>473</v>
      </c>
      <c r="E599" s="1248"/>
      <c r="F599" s="1248"/>
      <c r="I599" s="1140"/>
    </row>
    <row r="600" spans="1:9">
      <c r="A600" s="1140"/>
      <c r="B600" s="1140"/>
      <c r="D600" s="1248"/>
      <c r="E600" s="1248"/>
      <c r="F600" s="1248"/>
      <c r="I600" s="1140"/>
    </row>
    <row r="601" spans="1:9">
      <c r="A601" s="1140"/>
      <c r="B601" s="1140"/>
      <c r="D601" s="351"/>
      <c r="I601" s="1140"/>
    </row>
    <row r="602" spans="1:9">
      <c r="A602" s="1140"/>
      <c r="B602" s="338" t="s">
        <v>314</v>
      </c>
      <c r="D602" s="1248" t="s">
        <v>474</v>
      </c>
      <c r="E602" s="1248"/>
      <c r="F602" s="1248"/>
      <c r="I602" s="1140"/>
    </row>
    <row r="603" spans="1:9">
      <c r="A603" s="1140"/>
      <c r="B603" s="1140"/>
      <c r="D603" s="1248"/>
      <c r="E603" s="1248"/>
      <c r="F603" s="1248"/>
      <c r="I603" s="1140"/>
    </row>
    <row r="604" spans="1:9">
      <c r="A604" s="337"/>
      <c r="B604" s="337"/>
      <c r="D604" s="351"/>
      <c r="I604" s="1140"/>
    </row>
    <row r="605" spans="1:9">
      <c r="A605" s="1247" t="s">
        <v>475</v>
      </c>
      <c r="B605" s="1247"/>
      <c r="C605" s="1247"/>
      <c r="D605" s="1247"/>
      <c r="E605" s="1247"/>
      <c r="F605" s="1247"/>
      <c r="G605" s="1247"/>
      <c r="H605" s="815"/>
      <c r="I605" s="936"/>
    </row>
    <row r="606" spans="1:9">
      <c r="I606" s="1140"/>
    </row>
    <row r="607" spans="1:9">
      <c r="D607" s="1252" t="s">
        <v>476</v>
      </c>
      <c r="E607" s="1252"/>
      <c r="F607" s="1252"/>
      <c r="I607" s="1140"/>
    </row>
    <row r="608" spans="1:9">
      <c r="D608" s="1253" t="s">
        <v>477</v>
      </c>
      <c r="E608" s="1253"/>
      <c r="F608" s="1253"/>
      <c r="I608" s="1140"/>
    </row>
    <row r="609" spans="1:9">
      <c r="D609" s="1121"/>
      <c r="I609" s="1140"/>
    </row>
    <row r="610" spans="1:9" ht="14.25" customHeight="1">
      <c r="A610" s="337"/>
      <c r="B610" s="338" t="s">
        <v>309</v>
      </c>
      <c r="D610" s="1273" t="s">
        <v>478</v>
      </c>
      <c r="E610" s="1273"/>
      <c r="F610" s="1273"/>
      <c r="I610" s="1140"/>
    </row>
    <row r="611" spans="1:9">
      <c r="D611" s="1273"/>
      <c r="E611" s="1273"/>
      <c r="F611" s="1273"/>
      <c r="I611" s="1140"/>
    </row>
    <row r="612" spans="1:9">
      <c r="D612" s="1138"/>
      <c r="E612" s="823" t="s">
        <v>479</v>
      </c>
      <c r="F612" s="1138"/>
      <c r="I612" s="1140"/>
    </row>
    <row r="613" spans="1:9">
      <c r="I613" s="1140"/>
    </row>
    <row r="614" spans="1:9">
      <c r="A614" s="1247" t="s">
        <v>480</v>
      </c>
      <c r="B614" s="1247"/>
      <c r="C614" s="1247"/>
      <c r="D614" s="1247"/>
      <c r="E614" s="1247"/>
      <c r="F614" s="1247"/>
      <c r="G614" s="1247"/>
      <c r="H614" s="815"/>
      <c r="I614" s="936"/>
    </row>
    <row r="615" spans="1:9">
      <c r="A615" s="1131"/>
      <c r="B615" s="1131"/>
      <c r="I615" s="1140"/>
    </row>
    <row r="616" spans="1:9">
      <c r="A616" s="1143"/>
      <c r="B616" s="1143"/>
      <c r="C616" s="1143"/>
      <c r="D616" s="1281" t="s">
        <v>481</v>
      </c>
      <c r="E616" s="1281"/>
      <c r="F616" s="1281"/>
      <c r="I616" s="1140"/>
    </row>
    <row r="617" spans="1:9">
      <c r="A617" s="1143"/>
      <c r="B617" s="1143"/>
      <c r="C617" s="1143"/>
      <c r="D617" s="1281"/>
      <c r="E617" s="1281"/>
      <c r="F617" s="1281"/>
      <c r="I617" s="1140"/>
    </row>
    <row r="618" spans="1:9">
      <c r="C618" s="336"/>
      <c r="D618" s="1253" t="s">
        <v>482</v>
      </c>
      <c r="E618" s="1253"/>
      <c r="F618" s="1253"/>
      <c r="I618" s="1140"/>
    </row>
    <row r="619" spans="1:9">
      <c r="C619" s="336"/>
      <c r="D619" s="1121"/>
      <c r="E619" s="1121"/>
      <c r="F619" s="1121"/>
      <c r="I619" s="1140"/>
    </row>
    <row r="620" spans="1:9" ht="12.75" customHeight="1">
      <c r="A620" s="1140"/>
      <c r="B620" s="338" t="s">
        <v>309</v>
      </c>
      <c r="D620" s="1269" t="s">
        <v>483</v>
      </c>
      <c r="E620" s="1269"/>
      <c r="F620" s="1269"/>
      <c r="I620" s="1140"/>
    </row>
    <row r="621" spans="1:9">
      <c r="D621" s="1269"/>
      <c r="E621" s="1269"/>
      <c r="F621" s="1269"/>
      <c r="I621" s="1140"/>
    </row>
    <row r="622" spans="1:9">
      <c r="I622" s="1140"/>
    </row>
    <row r="623" spans="1:9">
      <c r="B623" s="338" t="s">
        <v>309</v>
      </c>
      <c r="D623" s="1269" t="s">
        <v>484</v>
      </c>
      <c r="E623" s="1269"/>
      <c r="F623" s="1269"/>
      <c r="I623" s="1140"/>
    </row>
    <row r="624" spans="1:9">
      <c r="C624" s="352"/>
      <c r="D624" s="1269"/>
      <c r="E624" s="1269"/>
      <c r="F624" s="1269"/>
      <c r="I624" s="1140"/>
    </row>
    <row r="625" spans="1:9">
      <c r="C625" s="352"/>
      <c r="I625" s="1140"/>
    </row>
    <row r="626" spans="1:9">
      <c r="B626" s="338" t="s">
        <v>309</v>
      </c>
      <c r="C626" s="352"/>
      <c r="D626" s="1269" t="s">
        <v>485</v>
      </c>
      <c r="E626" s="1269"/>
      <c r="F626" s="1269"/>
      <c r="I626" s="1140"/>
    </row>
    <row r="627" spans="1:9">
      <c r="C627" s="352"/>
      <c r="D627" s="1269"/>
      <c r="E627" s="1269"/>
      <c r="F627" s="1269"/>
      <c r="I627" s="352"/>
    </row>
    <row r="628" spans="1:9">
      <c r="C628" s="352"/>
      <c r="I628" s="1140"/>
    </row>
    <row r="629" spans="1:9">
      <c r="A629" s="1247" t="s">
        <v>486</v>
      </c>
      <c r="B629" s="1247"/>
      <c r="C629" s="1247"/>
      <c r="D629" s="1247"/>
      <c r="E629" s="1247"/>
      <c r="F629" s="1247"/>
      <c r="G629" s="1247"/>
      <c r="H629" s="815"/>
      <c r="I629" s="936"/>
    </row>
    <row r="630" spans="1:9">
      <c r="A630" s="1143"/>
      <c r="B630" s="1143"/>
      <c r="C630" s="1143"/>
      <c r="I630" s="1140"/>
    </row>
    <row r="631" spans="1:9">
      <c r="C631" s="1140"/>
      <c r="D631" s="1252" t="s">
        <v>487</v>
      </c>
      <c r="E631" s="1252"/>
      <c r="F631" s="1252"/>
      <c r="I631" s="1140"/>
    </row>
    <row r="632" spans="1:9">
      <c r="A632" s="1140"/>
      <c r="B632" s="1140"/>
      <c r="D632" s="274"/>
      <c r="I632" s="1140"/>
    </row>
    <row r="633" spans="1:9" ht="14.25" customHeight="1">
      <c r="A633" s="337"/>
      <c r="B633" s="338" t="s">
        <v>309</v>
      </c>
      <c r="D633" s="1273" t="s">
        <v>488</v>
      </c>
      <c r="E633" s="1273"/>
      <c r="F633" s="1273"/>
      <c r="I633" s="1140"/>
    </row>
    <row r="634" spans="1:9">
      <c r="D634" s="1273"/>
      <c r="E634" s="1273"/>
      <c r="F634" s="1273"/>
      <c r="I634" s="1140"/>
    </row>
    <row r="635" spans="1:9">
      <c r="D635" s="1138"/>
      <c r="E635" s="823" t="s">
        <v>489</v>
      </c>
      <c r="F635" s="1138"/>
      <c r="I635" s="1140"/>
    </row>
    <row r="636" spans="1:9">
      <c r="D636" s="1244" t="s">
        <v>490</v>
      </c>
      <c r="E636" s="1244"/>
      <c r="F636" s="1244"/>
      <c r="I636" s="1140"/>
    </row>
    <row r="637" spans="1:9">
      <c r="D637" s="1244"/>
      <c r="E637" s="1244"/>
      <c r="F637" s="1244"/>
      <c r="I637" s="1140"/>
    </row>
    <row r="638" spans="1:9">
      <c r="D638" s="1244"/>
      <c r="E638" s="1244"/>
      <c r="F638" s="1244"/>
      <c r="I638" s="1140"/>
    </row>
    <row r="639" spans="1:9">
      <c r="D639" s="1132"/>
      <c r="E639" s="1132"/>
      <c r="F639" s="1132"/>
      <c r="I639" s="1140"/>
    </row>
    <row r="640" spans="1:9">
      <c r="A640" s="337"/>
      <c r="B640" s="338" t="s">
        <v>314</v>
      </c>
      <c r="D640" s="1244" t="s">
        <v>491</v>
      </c>
      <c r="E640" s="1244"/>
      <c r="F640" s="1244"/>
      <c r="I640" s="1140"/>
    </row>
    <row r="641" spans="1:9">
      <c r="A641" s="340"/>
      <c r="B641" s="340"/>
      <c r="C641" s="340"/>
      <c r="D641" s="1244"/>
      <c r="E641" s="1244"/>
      <c r="F641" s="1244"/>
      <c r="I641" s="1140"/>
    </row>
    <row r="642" spans="1:9">
      <c r="A642" s="340"/>
      <c r="B642" s="340"/>
      <c r="C642" s="340"/>
      <c r="D642" s="1131"/>
      <c r="E642" s="1131"/>
      <c r="F642" s="1131"/>
      <c r="I642" s="1140"/>
    </row>
    <row r="643" spans="1:9">
      <c r="A643" s="337"/>
      <c r="B643" s="338" t="s">
        <v>314</v>
      </c>
      <c r="C643" s="340"/>
      <c r="D643" s="1244" t="s">
        <v>492</v>
      </c>
      <c r="E643" s="1244"/>
      <c r="F643" s="1244"/>
      <c r="I643" s="1140"/>
    </row>
    <row r="644" spans="1:9">
      <c r="A644" s="337"/>
      <c r="B644" s="337"/>
      <c r="C644" s="340"/>
      <c r="D644" s="1244"/>
      <c r="E644" s="1244"/>
      <c r="F644" s="1244"/>
      <c r="I644" s="1140"/>
    </row>
    <row r="645" spans="1:9">
      <c r="A645" s="337"/>
      <c r="B645" s="337"/>
      <c r="C645" s="340"/>
      <c r="D645" s="1244"/>
      <c r="E645" s="1244"/>
      <c r="F645" s="1244"/>
      <c r="I645" s="1140"/>
    </row>
    <row r="646" spans="1:9">
      <c r="A646" s="340"/>
      <c r="B646" s="338" t="s">
        <v>314</v>
      </c>
      <c r="C646" s="340"/>
      <c r="D646" s="1245" t="s">
        <v>493</v>
      </c>
      <c r="E646" s="1245"/>
      <c r="F646" s="1245"/>
      <c r="I646" s="1140"/>
    </row>
    <row r="647" spans="1:9">
      <c r="A647" s="340"/>
      <c r="B647" s="340"/>
      <c r="C647" s="340"/>
      <c r="D647" s="1131"/>
      <c r="E647" s="1131"/>
      <c r="F647" s="1131"/>
      <c r="I647" s="1140"/>
    </row>
    <row r="648" spans="1:9">
      <c r="A648" s="1247" t="s">
        <v>494</v>
      </c>
      <c r="B648" s="1247"/>
      <c r="C648" s="1247"/>
      <c r="D648" s="1247"/>
      <c r="E648" s="1247"/>
      <c r="F648" s="1247"/>
      <c r="G648" s="1247"/>
      <c r="H648" s="815"/>
      <c r="I648" s="936"/>
    </row>
    <row r="649" spans="1:9">
      <c r="A649" s="1131"/>
      <c r="B649" s="1131"/>
      <c r="C649" s="340"/>
      <c r="D649" s="1131"/>
      <c r="E649" s="1131"/>
      <c r="F649" s="1131"/>
      <c r="I649" s="1140"/>
    </row>
    <row r="650" spans="1:9">
      <c r="C650" s="1143"/>
      <c r="D650" s="1252" t="s">
        <v>495</v>
      </c>
      <c r="E650" s="1252"/>
      <c r="F650" s="1252"/>
      <c r="I650" s="1140"/>
    </row>
    <row r="651" spans="1:9">
      <c r="A651" s="336"/>
      <c r="B651" s="336"/>
      <c r="C651" s="336"/>
      <c r="D651" s="1245" t="s">
        <v>496</v>
      </c>
      <c r="E651" s="1245"/>
      <c r="F651" s="1245"/>
      <c r="I651" s="1140"/>
    </row>
    <row r="652" spans="1:9">
      <c r="A652" s="336"/>
      <c r="B652" s="336"/>
      <c r="C652" s="336"/>
      <c r="D652" s="1131"/>
      <c r="E652" s="1131"/>
      <c r="F652" s="1131"/>
      <c r="I652" s="1140"/>
    </row>
    <row r="653" spans="1:9" ht="12.75" customHeight="1">
      <c r="B653" s="338" t="s">
        <v>314</v>
      </c>
      <c r="C653" s="340"/>
      <c r="D653" s="1244" t="s">
        <v>497</v>
      </c>
      <c r="E653" s="1244"/>
      <c r="F653" s="1244"/>
      <c r="I653" s="1140"/>
    </row>
    <row r="654" spans="1:9">
      <c r="D654" s="1244"/>
      <c r="E654" s="1244"/>
      <c r="F654" s="1244"/>
      <c r="I654" s="1140"/>
    </row>
    <row r="655" spans="1:9">
      <c r="D655" s="1244"/>
      <c r="E655" s="1244"/>
      <c r="F655" s="1244"/>
      <c r="I655" s="1140"/>
    </row>
    <row r="656" spans="1:9">
      <c r="D656" s="1244"/>
      <c r="E656" s="1244"/>
      <c r="F656" s="1244"/>
      <c r="I656" s="1140"/>
    </row>
    <row r="657" spans="1:9" ht="14.5" customHeight="1">
      <c r="A657" s="337"/>
      <c r="B657" s="337"/>
      <c r="C657" s="340"/>
      <c r="D657" s="1138"/>
      <c r="E657" s="1138"/>
      <c r="F657" s="1138"/>
      <c r="I657" s="1140"/>
    </row>
    <row r="658" spans="1:9" ht="12.75" customHeight="1">
      <c r="A658" s="336"/>
      <c r="B658" s="338" t="s">
        <v>309</v>
      </c>
      <c r="C658" s="340"/>
      <c r="D658" s="1244" t="s">
        <v>498</v>
      </c>
      <c r="E658" s="1244"/>
      <c r="F658" s="1244"/>
      <c r="I658" s="1140"/>
    </row>
    <row r="659" spans="1:9">
      <c r="A659" s="336"/>
      <c r="B659" s="337"/>
      <c r="C659" s="340"/>
      <c r="D659" s="1244"/>
      <c r="E659" s="1244"/>
      <c r="F659" s="1244"/>
      <c r="I659" s="1140"/>
    </row>
    <row r="660" spans="1:9">
      <c r="A660" s="336"/>
      <c r="B660" s="337"/>
      <c r="C660" s="340"/>
      <c r="D660" s="1244"/>
      <c r="E660" s="1244"/>
      <c r="F660" s="1244"/>
      <c r="I660" s="1140"/>
    </row>
    <row r="661" spans="1:9">
      <c r="A661" s="336"/>
      <c r="B661" s="337"/>
      <c r="C661" s="340"/>
      <c r="D661" s="1244"/>
      <c r="E661" s="1244"/>
      <c r="F661" s="1244"/>
      <c r="I661" s="1140"/>
    </row>
    <row r="662" spans="1:9">
      <c r="A662" s="336"/>
      <c r="B662" s="337"/>
      <c r="C662" s="340"/>
      <c r="D662" s="1244"/>
      <c r="E662" s="1244"/>
      <c r="F662" s="1244"/>
      <c r="I662" s="1140"/>
    </row>
    <row r="663" spans="1:9" ht="14.25" customHeight="1">
      <c r="A663" s="336"/>
      <c r="B663" s="337"/>
      <c r="C663" s="340"/>
      <c r="F663" s="258"/>
      <c r="I663" s="1140"/>
    </row>
    <row r="664" spans="1:9" ht="12.75" customHeight="1">
      <c r="A664" s="336"/>
      <c r="B664" s="338" t="s">
        <v>314</v>
      </c>
      <c r="C664" s="340"/>
      <c r="D664" s="1244" t="s">
        <v>499</v>
      </c>
      <c r="E664" s="1244"/>
      <c r="F664" s="1244"/>
      <c r="I664" s="1140"/>
    </row>
    <row r="665" spans="1:9">
      <c r="A665" s="336"/>
      <c r="B665" s="337"/>
      <c r="C665" s="340"/>
      <c r="D665" s="1244"/>
      <c r="E665" s="1244"/>
      <c r="F665" s="1244"/>
      <c r="I665" s="1140"/>
    </row>
    <row r="666" spans="1:9">
      <c r="A666" s="337"/>
      <c r="B666" s="337"/>
      <c r="C666" s="340"/>
      <c r="D666" s="1244"/>
      <c r="E666" s="1244"/>
      <c r="F666" s="1244"/>
      <c r="I666" s="1140"/>
    </row>
    <row r="667" spans="1:9">
      <c r="A667" s="337"/>
      <c r="B667" s="337"/>
      <c r="C667" s="340"/>
      <c r="D667" s="1244"/>
      <c r="E667" s="1244"/>
      <c r="F667" s="1244"/>
      <c r="I667" s="1140"/>
    </row>
    <row r="668" spans="1:9">
      <c r="A668" s="337"/>
      <c r="B668" s="337"/>
      <c r="C668" s="340"/>
      <c r="D668" s="1132"/>
      <c r="E668" s="1132"/>
      <c r="F668" s="1132"/>
      <c r="I668" s="1140"/>
    </row>
    <row r="669" spans="1:9" ht="12.75" customHeight="1">
      <c r="A669" s="336"/>
      <c r="B669" s="338" t="s">
        <v>314</v>
      </c>
      <c r="C669" s="340"/>
      <c r="D669" s="1244" t="s">
        <v>500</v>
      </c>
      <c r="E669" s="1244"/>
      <c r="F669" s="1244"/>
      <c r="I669" s="1140"/>
    </row>
    <row r="670" spans="1:9" ht="12.75" customHeight="1">
      <c r="A670" s="336"/>
      <c r="B670" s="337"/>
      <c r="C670" s="340"/>
      <c r="D670" s="1244"/>
      <c r="E670" s="1244"/>
      <c r="F670" s="1244"/>
      <c r="I670" s="1140"/>
    </row>
    <row r="671" spans="1:9" ht="12.75" customHeight="1">
      <c r="A671" s="336"/>
      <c r="B671" s="337"/>
      <c r="C671" s="340"/>
      <c r="D671" s="1244"/>
      <c r="E671" s="1244"/>
      <c r="F671" s="1244"/>
      <c r="I671" s="1140"/>
    </row>
    <row r="672" spans="1:9" ht="12.75" customHeight="1">
      <c r="A672" s="336"/>
      <c r="B672" s="337"/>
      <c r="C672" s="340"/>
      <c r="D672" s="1244"/>
      <c r="E672" s="1244"/>
      <c r="F672" s="1244"/>
      <c r="I672" s="1140"/>
    </row>
    <row r="673" spans="1:11" ht="12.75" customHeight="1">
      <c r="A673" s="336"/>
      <c r="B673" s="337"/>
      <c r="C673" s="340"/>
      <c r="D673" s="1244"/>
      <c r="E673" s="1244"/>
      <c r="F673" s="1244"/>
      <c r="I673" s="1140"/>
    </row>
    <row r="674" spans="1:11" ht="12.75" customHeight="1">
      <c r="A674" s="336"/>
      <c r="B674" s="337"/>
      <c r="C674" s="340"/>
      <c r="D674" s="1244"/>
      <c r="E674" s="1244"/>
      <c r="F674" s="1244"/>
      <c r="I674" s="1140"/>
    </row>
    <row r="675" spans="1:11" ht="12.75" customHeight="1">
      <c r="A675" s="336"/>
      <c r="B675" s="337"/>
      <c r="C675" s="340"/>
      <c r="D675" s="1244"/>
      <c r="E675" s="1244"/>
      <c r="F675" s="1244"/>
      <c r="I675" s="1140"/>
    </row>
    <row r="676" spans="1:11" ht="12.75" customHeight="1">
      <c r="A676" s="336"/>
      <c r="B676" s="337"/>
      <c r="C676" s="340"/>
      <c r="D676" s="1244"/>
      <c r="E676" s="1244"/>
      <c r="F676" s="1244"/>
      <c r="I676" s="1140"/>
    </row>
    <row r="677" spans="1:11" ht="12.75" customHeight="1">
      <c r="A677" s="336"/>
      <c r="B677" s="337"/>
      <c r="C677" s="340"/>
      <c r="D677" s="1244"/>
      <c r="E677" s="1244"/>
      <c r="F677" s="1244"/>
      <c r="I677" s="1140"/>
    </row>
    <row r="678" spans="1:11">
      <c r="A678" s="340"/>
      <c r="B678" s="340"/>
      <c r="C678" s="340"/>
      <c r="D678" s="1131"/>
      <c r="E678" s="1131"/>
      <c r="F678" s="1131"/>
      <c r="I678" s="1140"/>
    </row>
    <row r="679" spans="1:11">
      <c r="A679" s="1247" t="s">
        <v>501</v>
      </c>
      <c r="B679" s="1247"/>
      <c r="C679" s="1247"/>
      <c r="D679" s="1247"/>
      <c r="E679" s="1247"/>
      <c r="F679" s="1247"/>
      <c r="G679" s="1247"/>
      <c r="H679" s="817"/>
      <c r="I679" s="940"/>
      <c r="J679" s="353"/>
      <c r="K679" s="353"/>
    </row>
    <row r="680" spans="1:11">
      <c r="A680" s="1142"/>
      <c r="B680" s="1142"/>
      <c r="C680" s="1142"/>
      <c r="D680" s="1142"/>
      <c r="E680" s="1142"/>
      <c r="F680" s="1142"/>
      <c r="G680" s="1142"/>
      <c r="H680" s="353"/>
      <c r="I680" s="336"/>
      <c r="J680" s="353"/>
      <c r="K680" s="353"/>
    </row>
    <row r="681" spans="1:11">
      <c r="C681" s="1143"/>
      <c r="D681" s="1252" t="s">
        <v>502</v>
      </c>
      <c r="E681" s="1252"/>
      <c r="F681" s="1252"/>
      <c r="H681" s="353"/>
      <c r="I681" s="336"/>
      <c r="J681" s="353"/>
      <c r="K681" s="353"/>
    </row>
    <row r="682" spans="1:11">
      <c r="A682" s="1143"/>
      <c r="B682" s="1143"/>
      <c r="C682" s="1143"/>
      <c r="D682" s="1252" t="s">
        <v>503</v>
      </c>
      <c r="E682" s="1252"/>
      <c r="F682" s="1252"/>
      <c r="H682" s="353"/>
      <c r="I682" s="336"/>
      <c r="J682" s="353"/>
      <c r="K682" s="353"/>
    </row>
    <row r="683" spans="1:11">
      <c r="A683" s="336"/>
      <c r="B683" s="336"/>
      <c r="C683" s="336"/>
      <c r="D683" s="1245" t="s">
        <v>504</v>
      </c>
      <c r="E683" s="1245"/>
      <c r="F683" s="1245"/>
      <c r="H683" s="353"/>
      <c r="I683" s="336"/>
      <c r="J683" s="353"/>
      <c r="K683" s="353"/>
    </row>
    <row r="684" spans="1:11">
      <c r="A684" s="336"/>
      <c r="B684" s="336"/>
      <c r="C684" s="336"/>
      <c r="H684" s="353"/>
      <c r="I684" s="336"/>
      <c r="J684" s="353"/>
      <c r="K684" s="353"/>
    </row>
    <row r="685" spans="1:11">
      <c r="A685" s="337"/>
      <c r="B685" s="338" t="s">
        <v>314</v>
      </c>
      <c r="C685" s="336"/>
      <c r="D685" s="1245" t="s">
        <v>505</v>
      </c>
      <c r="E685" s="1245"/>
      <c r="F685" s="1245"/>
      <c r="H685" s="353"/>
      <c r="I685" s="336"/>
      <c r="J685" s="353"/>
      <c r="K685" s="353"/>
    </row>
    <row r="686" spans="1:11">
      <c r="A686" s="336"/>
      <c r="B686" s="336"/>
      <c r="C686" s="336"/>
      <c r="D686" s="1245" t="s">
        <v>506</v>
      </c>
      <c r="E686" s="1245"/>
      <c r="F686" s="1245"/>
      <c r="H686" s="353"/>
      <c r="I686" s="336"/>
      <c r="J686" s="353"/>
      <c r="K686" s="353"/>
    </row>
    <row r="687" spans="1:11" ht="12.75" customHeight="1">
      <c r="A687" s="336"/>
      <c r="B687" s="336"/>
      <c r="C687" s="336"/>
      <c r="E687" s="823" t="s">
        <v>507</v>
      </c>
      <c r="F687" s="289"/>
      <c r="H687" s="353"/>
      <c r="I687" s="336"/>
      <c r="J687" s="353"/>
      <c r="K687" s="353"/>
    </row>
    <row r="688" spans="1:11">
      <c r="A688" s="336"/>
      <c r="B688" s="336"/>
      <c r="C688" s="336"/>
      <c r="E688" s="353" t="s">
        <v>508</v>
      </c>
      <c r="F688" s="289"/>
      <c r="I688" s="336"/>
      <c r="J688" s="353"/>
      <c r="K688" s="353"/>
    </row>
    <row r="689" spans="1:11">
      <c r="A689" s="336"/>
      <c r="B689" s="336"/>
      <c r="C689" s="336"/>
      <c r="D689" s="354"/>
      <c r="E689" s="1131"/>
      <c r="H689" s="353"/>
      <c r="I689" s="336"/>
      <c r="J689" s="353"/>
      <c r="K689" s="353"/>
    </row>
    <row r="690" spans="1:11">
      <c r="A690" s="337"/>
      <c r="B690" s="338" t="s">
        <v>309</v>
      </c>
      <c r="C690" s="336"/>
      <c r="D690" s="1244" t="s">
        <v>509</v>
      </c>
      <c r="E690" s="1244"/>
      <c r="F690" s="1244"/>
      <c r="H690" s="353"/>
      <c r="I690" s="336"/>
      <c r="J690" s="353"/>
      <c r="K690" s="353"/>
    </row>
    <row r="691" spans="1:11">
      <c r="A691" s="1140"/>
      <c r="B691" s="1140"/>
      <c r="C691" s="336"/>
      <c r="D691" s="1244"/>
      <c r="E691" s="1244"/>
      <c r="F691" s="1244"/>
      <c r="H691" s="353"/>
      <c r="I691" s="336"/>
      <c r="J691" s="353"/>
      <c r="K691" s="353"/>
    </row>
    <row r="692" spans="1:11">
      <c r="A692" s="336"/>
      <c r="B692" s="336"/>
      <c r="C692" s="336"/>
      <c r="D692" s="1244"/>
      <c r="E692" s="1244"/>
      <c r="F692" s="1244"/>
      <c r="H692" s="353"/>
      <c r="I692" s="336"/>
      <c r="J692" s="353"/>
      <c r="K692" s="353"/>
    </row>
    <row r="693" spans="1:11">
      <c r="A693" s="336"/>
      <c r="B693" s="336"/>
      <c r="C693" s="336"/>
      <c r="H693" s="353"/>
      <c r="J693" s="353"/>
      <c r="K693" s="353"/>
    </row>
    <row r="694" spans="1:11">
      <c r="A694" s="337"/>
      <c r="B694" s="338" t="s">
        <v>309</v>
      </c>
      <c r="C694" s="336"/>
      <c r="D694" s="1245" t="s">
        <v>510</v>
      </c>
      <c r="E694" s="1245"/>
      <c r="F694" s="1245"/>
      <c r="H694" s="353"/>
      <c r="I694" s="336"/>
      <c r="J694" s="353"/>
      <c r="K694" s="353"/>
    </row>
    <row r="695" spans="1:11">
      <c r="A695" s="337"/>
      <c r="B695" s="337"/>
      <c r="C695" s="336"/>
      <c r="D695" s="1245" t="s">
        <v>506</v>
      </c>
      <c r="E695" s="1245"/>
      <c r="F695" s="1245"/>
      <c r="H695" s="353"/>
      <c r="I695" s="336"/>
      <c r="J695" s="353"/>
      <c r="K695" s="353"/>
    </row>
    <row r="696" spans="1:11">
      <c r="A696" s="336"/>
      <c r="B696" s="336"/>
      <c r="C696" s="336"/>
      <c r="E696" s="823" t="s">
        <v>511</v>
      </c>
      <c r="F696" s="274"/>
      <c r="H696" s="353"/>
      <c r="I696" s="336"/>
      <c r="J696" s="353"/>
      <c r="K696" s="353"/>
    </row>
    <row r="697" spans="1:11">
      <c r="A697" s="336"/>
      <c r="B697" s="336"/>
      <c r="C697" s="336"/>
      <c r="D697" s="274"/>
      <c r="H697" s="353"/>
      <c r="I697" s="336"/>
      <c r="J697" s="353"/>
      <c r="K697" s="353"/>
    </row>
    <row r="698" spans="1:11">
      <c r="A698" s="337"/>
      <c r="B698" s="338" t="s">
        <v>314</v>
      </c>
      <c r="C698" s="336"/>
      <c r="D698" s="1245" t="s">
        <v>512</v>
      </c>
      <c r="E698" s="1245"/>
      <c r="F698" s="1245"/>
      <c r="H698" s="353"/>
      <c r="I698" s="336"/>
      <c r="J698" s="353"/>
      <c r="K698" s="353"/>
    </row>
    <row r="699" spans="1:11">
      <c r="A699" s="337"/>
      <c r="B699" s="337"/>
      <c r="C699" s="336"/>
      <c r="D699" s="1245" t="s">
        <v>506</v>
      </c>
      <c r="E699" s="1245"/>
      <c r="F699" s="1245"/>
      <c r="H699" s="353"/>
      <c r="I699" s="336"/>
      <c r="J699" s="353"/>
      <c r="K699" s="353"/>
    </row>
    <row r="700" spans="1:11">
      <c r="A700" s="336"/>
      <c r="B700" s="336"/>
      <c r="C700" s="336"/>
      <c r="E700" s="823" t="s">
        <v>513</v>
      </c>
      <c r="F700" s="274"/>
      <c r="H700" s="353"/>
      <c r="I700" s="336"/>
      <c r="J700" s="353"/>
      <c r="K700" s="353"/>
    </row>
    <row r="701" spans="1:11">
      <c r="A701" s="336"/>
      <c r="B701" s="336"/>
      <c r="C701" s="336"/>
      <c r="D701" s="274"/>
      <c r="H701" s="353"/>
      <c r="I701" s="336"/>
      <c r="J701" s="353"/>
      <c r="K701" s="353"/>
    </row>
    <row r="702" spans="1:11">
      <c r="A702" s="337"/>
      <c r="B702" s="338" t="s">
        <v>309</v>
      </c>
      <c r="C702" s="336"/>
      <c r="D702" s="1244" t="s">
        <v>514</v>
      </c>
      <c r="E702" s="1244"/>
      <c r="F702" s="1244"/>
      <c r="H702" s="353"/>
      <c r="I702" s="336"/>
      <c r="J702" s="353"/>
      <c r="K702" s="353"/>
    </row>
    <row r="703" spans="1:11">
      <c r="A703" s="336"/>
      <c r="B703" s="336"/>
      <c r="C703" s="336"/>
      <c r="D703" s="1244"/>
      <c r="E703" s="1244"/>
      <c r="F703" s="1244"/>
      <c r="H703" s="353"/>
      <c r="I703" s="336"/>
      <c r="J703" s="353"/>
      <c r="K703" s="353"/>
    </row>
    <row r="704" spans="1:11">
      <c r="A704" s="336"/>
      <c r="B704" s="336"/>
      <c r="C704" s="336"/>
      <c r="D704" s="1244"/>
      <c r="E704" s="1244"/>
      <c r="F704" s="1244"/>
      <c r="H704" s="353"/>
      <c r="I704" s="336"/>
      <c r="J704" s="353"/>
      <c r="K704" s="353"/>
    </row>
    <row r="705" spans="1:11">
      <c r="A705" s="336"/>
      <c r="B705" s="336"/>
      <c r="C705" s="336"/>
      <c r="D705" s="1244"/>
      <c r="E705" s="1244"/>
      <c r="F705" s="1244"/>
      <c r="H705" s="353"/>
      <c r="I705" s="336"/>
      <c r="J705" s="353"/>
      <c r="K705" s="353"/>
    </row>
    <row r="706" spans="1:11">
      <c r="A706" s="336"/>
      <c r="B706" s="336"/>
      <c r="C706" s="336"/>
      <c r="D706" s="1244"/>
      <c r="E706" s="1244"/>
      <c r="F706" s="1244"/>
      <c r="H706" s="353"/>
      <c r="I706" s="336"/>
      <c r="J706" s="353"/>
      <c r="K706" s="353"/>
    </row>
    <row r="707" spans="1:11">
      <c r="A707" s="336"/>
      <c r="B707" s="336"/>
      <c r="C707" s="336"/>
      <c r="D707" s="1244"/>
      <c r="E707" s="1244"/>
      <c r="F707" s="1244"/>
      <c r="H707" s="353"/>
      <c r="I707" s="336"/>
      <c r="J707" s="353"/>
      <c r="K707" s="353"/>
    </row>
    <row r="708" spans="1:11">
      <c r="A708" s="336"/>
      <c r="B708" s="336"/>
      <c r="C708" s="336"/>
      <c r="D708" s="1132"/>
      <c r="E708" s="1132"/>
      <c r="F708" s="1132"/>
      <c r="H708" s="353"/>
      <c r="I708" s="336"/>
      <c r="J708" s="353"/>
      <c r="K708" s="353"/>
    </row>
    <row r="709" spans="1:11">
      <c r="A709" s="336"/>
      <c r="B709" s="338" t="s">
        <v>314</v>
      </c>
      <c r="C709" s="336"/>
      <c r="D709" s="1244" t="s">
        <v>515</v>
      </c>
      <c r="E709" s="1244"/>
      <c r="F709" s="1244"/>
      <c r="H709" s="353"/>
      <c r="I709" s="336"/>
      <c r="J709" s="353"/>
      <c r="K709" s="353"/>
    </row>
    <row r="710" spans="1:11">
      <c r="A710" s="336"/>
      <c r="B710" s="336"/>
      <c r="C710" s="336"/>
      <c r="D710" s="1244"/>
      <c r="E710" s="1244"/>
      <c r="F710" s="1244"/>
      <c r="H710" s="353"/>
      <c r="I710" s="336"/>
      <c r="J710" s="353"/>
      <c r="K710" s="353"/>
    </row>
    <row r="711" spans="1:11">
      <c r="A711" s="336"/>
      <c r="B711" s="336"/>
      <c r="C711" s="336"/>
      <c r="D711" s="1132"/>
      <c r="E711" s="1132"/>
      <c r="F711" s="1132"/>
      <c r="H711" s="353"/>
      <c r="I711" s="336"/>
      <c r="J711" s="353"/>
      <c r="K711" s="353"/>
    </row>
    <row r="712" spans="1:11">
      <c r="A712" s="337"/>
      <c r="B712" s="338" t="s">
        <v>314</v>
      </c>
      <c r="C712" s="336"/>
      <c r="D712" s="1244" t="s">
        <v>516</v>
      </c>
      <c r="E712" s="1244"/>
      <c r="F712" s="1244"/>
      <c r="H712" s="353"/>
      <c r="I712" s="336"/>
      <c r="J712" s="353"/>
      <c r="K712" s="353"/>
    </row>
    <row r="713" spans="1:11">
      <c r="A713" s="336"/>
      <c r="B713" s="336"/>
      <c r="C713" s="336"/>
      <c r="D713" s="1244"/>
      <c r="E713" s="1244"/>
      <c r="F713" s="1244"/>
      <c r="H713" s="353"/>
      <c r="I713" s="336"/>
      <c r="J713" s="353"/>
      <c r="K713" s="353"/>
    </row>
    <row r="714" spans="1:11">
      <c r="A714" s="336"/>
      <c r="B714" s="336"/>
      <c r="C714" s="336"/>
      <c r="D714" s="1244"/>
      <c r="E714" s="1244"/>
      <c r="F714" s="1244"/>
      <c r="H714" s="353"/>
      <c r="I714" s="336"/>
      <c r="J714" s="353"/>
      <c r="K714" s="353"/>
    </row>
    <row r="715" spans="1:11" ht="15" customHeight="1">
      <c r="A715" s="336"/>
      <c r="B715" s="336"/>
      <c r="C715" s="336"/>
      <c r="D715" s="1244"/>
      <c r="E715" s="1244"/>
      <c r="F715" s="1244"/>
      <c r="H715" s="353"/>
      <c r="I715" s="336"/>
      <c r="J715" s="353"/>
      <c r="K715" s="353"/>
    </row>
    <row r="716" spans="1:11" ht="15" customHeight="1">
      <c r="A716" s="336"/>
      <c r="B716" s="336"/>
      <c r="C716" s="336"/>
      <c r="D716" s="1244"/>
      <c r="E716" s="1244"/>
      <c r="F716" s="1244"/>
      <c r="H716" s="353"/>
      <c r="I716" s="336"/>
      <c r="J716" s="353"/>
      <c r="K716" s="353"/>
    </row>
    <row r="717" spans="1:11">
      <c r="A717" s="336"/>
      <c r="B717" s="336"/>
      <c r="C717" s="336"/>
      <c r="D717" s="1244"/>
      <c r="E717" s="1244"/>
      <c r="F717" s="1244"/>
      <c r="H717" s="353"/>
      <c r="I717" s="336"/>
      <c r="J717" s="353"/>
      <c r="K717" s="353"/>
    </row>
    <row r="718" spans="1:11">
      <c r="A718" s="336"/>
      <c r="B718" s="336"/>
      <c r="C718" s="336"/>
      <c r="D718" s="1244"/>
      <c r="E718" s="1244"/>
      <c r="F718" s="1244"/>
      <c r="H718" s="353"/>
      <c r="I718" s="336"/>
      <c r="J718" s="353"/>
      <c r="K718" s="353"/>
    </row>
    <row r="719" spans="1:11">
      <c r="A719" s="336"/>
      <c r="B719" s="336"/>
      <c r="C719" s="336"/>
      <c r="D719" s="1244"/>
      <c r="E719" s="1244"/>
      <c r="F719" s="1244"/>
      <c r="H719" s="353"/>
      <c r="I719" s="336"/>
      <c r="J719" s="353"/>
      <c r="K719" s="353"/>
    </row>
    <row r="720" spans="1:11" ht="15" customHeight="1">
      <c r="A720" s="336"/>
      <c r="B720" s="336"/>
      <c r="C720" s="336"/>
      <c r="D720" s="1244"/>
      <c r="E720" s="1244"/>
      <c r="F720" s="1244"/>
      <c r="H720" s="353"/>
      <c r="I720" s="336"/>
      <c r="J720" s="353"/>
      <c r="K720" s="353"/>
    </row>
    <row r="721" spans="1:11">
      <c r="A721" s="336"/>
      <c r="B721" s="336"/>
      <c r="C721" s="336"/>
      <c r="D721" s="1244"/>
      <c r="E721" s="1244"/>
      <c r="F721" s="1244"/>
      <c r="H721" s="353"/>
      <c r="I721" s="336"/>
      <c r="J721" s="353"/>
      <c r="K721" s="353"/>
    </row>
    <row r="722" spans="1:11">
      <c r="A722" s="336"/>
      <c r="B722" s="336"/>
      <c r="C722" s="336"/>
      <c r="D722" s="1244"/>
      <c r="E722" s="1244"/>
      <c r="F722" s="1244"/>
      <c r="H722" s="353"/>
      <c r="I722" s="336"/>
      <c r="J722" s="353"/>
      <c r="K722" s="353"/>
    </row>
    <row r="723" spans="1:11">
      <c r="A723" s="336"/>
      <c r="B723" s="336"/>
      <c r="C723" s="336"/>
      <c r="D723" s="1244"/>
      <c r="E723" s="1244"/>
      <c r="F723" s="1244"/>
      <c r="H723" s="353"/>
      <c r="I723" s="336"/>
      <c r="J723" s="353"/>
      <c r="K723" s="353"/>
    </row>
    <row r="724" spans="1:11">
      <c r="A724" s="336"/>
      <c r="B724" s="336"/>
      <c r="C724" s="336"/>
      <c r="D724" s="1244"/>
      <c r="E724" s="1244"/>
      <c r="F724" s="1244"/>
      <c r="H724" s="353"/>
      <c r="I724" s="336"/>
      <c r="J724" s="353"/>
      <c r="K724" s="353"/>
    </row>
    <row r="725" spans="1:11">
      <c r="A725" s="336"/>
      <c r="B725" s="338" t="s">
        <v>314</v>
      </c>
      <c r="C725" s="336"/>
      <c r="D725" s="1244" t="s">
        <v>517</v>
      </c>
      <c r="E725" s="1244"/>
      <c r="F725" s="1244"/>
      <c r="H725" s="353"/>
      <c r="I725" s="336"/>
      <c r="J725" s="353"/>
      <c r="K725" s="353"/>
    </row>
    <row r="726" spans="1:11">
      <c r="A726" s="336"/>
      <c r="B726" s="336"/>
      <c r="C726" s="336"/>
      <c r="D726" s="1244"/>
      <c r="E726" s="1244"/>
      <c r="F726" s="1244"/>
      <c r="H726" s="353"/>
      <c r="I726" s="336"/>
      <c r="J726" s="353"/>
      <c r="K726" s="353"/>
    </row>
    <row r="727" spans="1:11">
      <c r="A727" s="336"/>
      <c r="B727" s="336"/>
      <c r="C727" s="336"/>
      <c r="D727" s="1244"/>
      <c r="E727" s="1244"/>
      <c r="F727" s="1244"/>
      <c r="H727" s="353"/>
      <c r="I727" s="336"/>
      <c r="J727" s="353"/>
      <c r="K727" s="353"/>
    </row>
    <row r="728" spans="1:11">
      <c r="A728" s="336"/>
      <c r="B728" s="336"/>
      <c r="C728" s="336"/>
      <c r="D728" s="1132"/>
      <c r="E728" s="1132"/>
      <c r="F728" s="1132"/>
      <c r="H728" s="353"/>
      <c r="I728" s="336"/>
      <c r="J728" s="353"/>
      <c r="K728" s="353"/>
    </row>
    <row r="729" spans="1:11">
      <c r="A729" s="336"/>
      <c r="B729" s="338" t="s">
        <v>314</v>
      </c>
      <c r="C729" s="336"/>
      <c r="D729" s="1244" t="s">
        <v>518</v>
      </c>
      <c r="E729" s="1244"/>
      <c r="F729" s="1244"/>
      <c r="H729" s="353"/>
      <c r="I729" s="336"/>
      <c r="J729" s="353"/>
      <c r="K729" s="353"/>
    </row>
    <row r="730" spans="1:11">
      <c r="A730" s="336"/>
      <c r="B730" s="336"/>
      <c r="C730" s="336"/>
      <c r="D730" s="1244"/>
      <c r="E730" s="1244"/>
      <c r="F730" s="1244"/>
      <c r="H730" s="353"/>
      <c r="I730" s="336"/>
      <c r="J730" s="353"/>
      <c r="K730" s="353"/>
    </row>
    <row r="731" spans="1:11">
      <c r="A731" s="336"/>
      <c r="B731" s="336"/>
      <c r="C731" s="336"/>
      <c r="D731" s="1244"/>
      <c r="E731" s="1244"/>
      <c r="F731" s="1244"/>
      <c r="H731" s="353"/>
      <c r="I731" s="336"/>
      <c r="J731" s="353"/>
      <c r="K731" s="353"/>
    </row>
    <row r="732" spans="1:11">
      <c r="A732" s="336"/>
      <c r="B732" s="336"/>
      <c r="C732" s="336"/>
      <c r="H732" s="353"/>
      <c r="I732" s="336"/>
      <c r="J732" s="353"/>
      <c r="K732" s="353"/>
    </row>
    <row r="733" spans="1:11">
      <c r="A733" s="336"/>
      <c r="B733" s="338" t="s">
        <v>314</v>
      </c>
      <c r="C733" s="336"/>
      <c r="D733" s="1244" t="s">
        <v>519</v>
      </c>
      <c r="E733" s="1244"/>
      <c r="F733" s="1244"/>
      <c r="H733" s="353"/>
      <c r="I733" s="336"/>
      <c r="J733" s="353"/>
      <c r="K733" s="353"/>
    </row>
    <row r="734" spans="1:11">
      <c r="A734" s="336"/>
      <c r="B734" s="336"/>
      <c r="C734" s="336"/>
      <c r="D734" s="1244"/>
      <c r="E734" s="1244"/>
      <c r="F734" s="1244"/>
      <c r="H734" s="353"/>
      <c r="I734" s="336"/>
      <c r="J734" s="353"/>
      <c r="K734" s="353"/>
    </row>
    <row r="735" spans="1:11">
      <c r="A735" s="336"/>
      <c r="B735" s="336"/>
      <c r="C735" s="336"/>
      <c r="D735" s="1244"/>
      <c r="E735" s="1244"/>
      <c r="F735" s="1244"/>
      <c r="H735" s="353"/>
      <c r="I735" s="336"/>
      <c r="J735" s="353"/>
      <c r="K735" s="353"/>
    </row>
    <row r="736" spans="1:11">
      <c r="A736" s="336"/>
      <c r="B736" s="336"/>
      <c r="C736" s="336"/>
      <c r="D736" s="1244"/>
      <c r="E736" s="1244"/>
      <c r="F736" s="1244"/>
      <c r="H736" s="353"/>
      <c r="I736" s="336"/>
      <c r="J736" s="353"/>
      <c r="K736" s="353"/>
    </row>
    <row r="737" spans="1:11">
      <c r="A737" s="336"/>
      <c r="B737" s="336"/>
      <c r="C737" s="336"/>
      <c r="H737" s="353"/>
      <c r="I737" s="336"/>
      <c r="J737" s="353"/>
      <c r="K737" s="353"/>
    </row>
    <row r="738" spans="1:11">
      <c r="A738" s="337"/>
      <c r="B738" s="338" t="s">
        <v>314</v>
      </c>
      <c r="C738" s="336"/>
      <c r="D738" s="1244" t="s">
        <v>520</v>
      </c>
      <c r="E738" s="1244"/>
      <c r="F738" s="1244"/>
      <c r="H738" s="353"/>
      <c r="I738" s="336"/>
      <c r="J738" s="353"/>
      <c r="K738" s="353"/>
    </row>
    <row r="739" spans="1:11">
      <c r="A739" s="336"/>
      <c r="B739" s="336"/>
      <c r="C739" s="336"/>
      <c r="D739" s="1244"/>
      <c r="E739" s="1244"/>
      <c r="F739" s="1244"/>
      <c r="H739" s="353"/>
      <c r="I739" s="336"/>
      <c r="J739" s="353"/>
      <c r="K739" s="353"/>
    </row>
    <row r="740" spans="1:11">
      <c r="A740" s="336"/>
      <c r="B740" s="336"/>
      <c r="C740" s="336"/>
      <c r="D740" s="1244"/>
      <c r="E740" s="1244"/>
      <c r="F740" s="1244"/>
      <c r="H740" s="353"/>
      <c r="I740" s="336"/>
      <c r="J740" s="353"/>
      <c r="K740" s="353"/>
    </row>
    <row r="741" spans="1:11">
      <c r="A741" s="336"/>
      <c r="B741" s="336"/>
      <c r="C741" s="336"/>
      <c r="D741" s="1244"/>
      <c r="E741" s="1244"/>
      <c r="F741" s="1244"/>
      <c r="H741" s="353"/>
      <c r="I741" s="336"/>
      <c r="J741" s="353"/>
      <c r="K741" s="353"/>
    </row>
    <row r="742" spans="1:11">
      <c r="A742" s="336"/>
      <c r="B742" s="336"/>
      <c r="C742" s="336"/>
      <c r="D742" s="1244"/>
      <c r="E742" s="1244"/>
      <c r="F742" s="1244"/>
      <c r="H742" s="353"/>
      <c r="I742" s="336"/>
      <c r="J742" s="353"/>
      <c r="K742" s="353"/>
    </row>
    <row r="743" spans="1:11">
      <c r="A743" s="336"/>
      <c r="B743" s="336"/>
      <c r="C743" s="336"/>
      <c r="D743" s="344"/>
      <c r="H743" s="353"/>
      <c r="I743" s="336"/>
      <c r="J743" s="353"/>
      <c r="K743" s="353"/>
    </row>
    <row r="744" spans="1:11">
      <c r="A744" s="337"/>
      <c r="B744" s="338" t="s">
        <v>314</v>
      </c>
      <c r="C744" s="336"/>
      <c r="D744" s="1244" t="s">
        <v>521</v>
      </c>
      <c r="E744" s="1244"/>
      <c r="F744" s="1244"/>
      <c r="H744" s="353"/>
      <c r="I744" s="336"/>
      <c r="J744" s="353"/>
      <c r="K744" s="353"/>
    </row>
    <row r="745" spans="1:11">
      <c r="A745" s="336"/>
      <c r="B745" s="336"/>
      <c r="C745" s="336"/>
      <c r="D745" s="1244"/>
      <c r="E745" s="1244"/>
      <c r="F745" s="1244"/>
      <c r="H745" s="353"/>
      <c r="I745" s="336"/>
      <c r="J745" s="353"/>
      <c r="K745" s="353"/>
    </row>
    <row r="746" spans="1:11">
      <c r="A746" s="336"/>
      <c r="B746" s="336"/>
      <c r="C746" s="336"/>
      <c r="D746" s="1244"/>
      <c r="E746" s="1244"/>
      <c r="F746" s="1244"/>
      <c r="H746" s="353"/>
      <c r="I746" s="336"/>
      <c r="J746" s="353"/>
      <c r="K746" s="353"/>
    </row>
    <row r="747" spans="1:11">
      <c r="A747" s="336"/>
      <c r="B747" s="336"/>
      <c r="C747" s="336"/>
      <c r="D747" s="1244"/>
      <c r="E747" s="1244"/>
      <c r="F747" s="1244"/>
      <c r="H747" s="353"/>
      <c r="I747" s="336"/>
      <c r="J747" s="353"/>
      <c r="K747" s="353"/>
    </row>
    <row r="748" spans="1:11">
      <c r="A748" s="336"/>
      <c r="B748" s="336"/>
      <c r="C748" s="336"/>
      <c r="D748" s="1244"/>
      <c r="E748" s="1244"/>
      <c r="F748" s="1244"/>
      <c r="H748" s="353"/>
      <c r="I748" s="336"/>
      <c r="J748" s="353"/>
      <c r="K748" s="353"/>
    </row>
    <row r="749" spans="1:11">
      <c r="A749" s="336"/>
      <c r="B749" s="336"/>
      <c r="C749" s="336"/>
      <c r="D749" s="1244"/>
      <c r="E749" s="1244"/>
      <c r="F749" s="1244"/>
      <c r="H749" s="353"/>
      <c r="I749" s="336"/>
      <c r="J749" s="353"/>
      <c r="K749" s="353"/>
    </row>
    <row r="750" spans="1:11">
      <c r="A750" s="336"/>
      <c r="B750" s="336"/>
      <c r="C750" s="336"/>
      <c r="D750" s="1244"/>
      <c r="E750" s="1244"/>
      <c r="F750" s="1244"/>
      <c r="H750" s="353"/>
      <c r="I750" s="336"/>
      <c r="J750" s="353"/>
      <c r="K750" s="353"/>
    </row>
    <row r="751" spans="1:11">
      <c r="A751" s="336"/>
      <c r="B751" s="336"/>
      <c r="C751" s="336"/>
      <c r="D751" s="1282" t="s">
        <v>522</v>
      </c>
      <c r="E751" s="1282"/>
      <c r="F751" s="1282"/>
      <c r="H751" s="353"/>
      <c r="I751" s="336"/>
      <c r="J751" s="353"/>
      <c r="K751" s="353"/>
    </row>
    <row r="752" spans="1:11">
      <c r="A752" s="336"/>
      <c r="B752" s="336"/>
      <c r="C752" s="336"/>
      <c r="D752" s="1133"/>
      <c r="H752" s="353"/>
      <c r="I752" s="336"/>
      <c r="J752" s="353"/>
      <c r="K752" s="353"/>
    </row>
    <row r="753" spans="1:11">
      <c r="A753" s="1251" t="s">
        <v>523</v>
      </c>
      <c r="B753" s="1251"/>
      <c r="C753" s="1251"/>
      <c r="D753" s="1251"/>
      <c r="E753" s="1251"/>
      <c r="F753" s="1251"/>
      <c r="G753" s="1251"/>
      <c r="H753" s="817"/>
      <c r="I753" s="940"/>
      <c r="J753" s="353"/>
      <c r="K753" s="353"/>
    </row>
    <row r="754" spans="1:11">
      <c r="A754" s="336"/>
      <c r="B754" s="336"/>
      <c r="C754" s="336"/>
      <c r="D754" s="344"/>
      <c r="G754" s="353"/>
      <c r="H754" s="353"/>
      <c r="I754" s="336"/>
      <c r="J754" s="353"/>
      <c r="K754" s="353"/>
    </row>
    <row r="755" spans="1:11" ht="13.75" customHeight="1">
      <c r="C755" s="336"/>
      <c r="D755" s="1246" t="s">
        <v>524</v>
      </c>
      <c r="E755" s="1246"/>
      <c r="F755" s="1246"/>
      <c r="G755" s="353"/>
      <c r="H755" s="353"/>
      <c r="I755" s="336"/>
      <c r="J755" s="353"/>
      <c r="K755" s="353"/>
    </row>
    <row r="756" spans="1:11">
      <c r="A756" s="336"/>
      <c r="B756" s="336"/>
      <c r="C756" s="336"/>
      <c r="D756" s="1250" t="s">
        <v>525</v>
      </c>
      <c r="E756" s="1250"/>
      <c r="F756" s="1250"/>
      <c r="G756" s="353"/>
      <c r="H756" s="353"/>
      <c r="I756" s="336"/>
      <c r="J756" s="353"/>
      <c r="K756" s="353"/>
    </row>
    <row r="757" spans="1:11">
      <c r="A757" s="336"/>
      <c r="B757" s="336"/>
      <c r="C757" s="336"/>
      <c r="G757" s="353"/>
      <c r="H757" s="353"/>
      <c r="I757" s="336"/>
      <c r="J757" s="353"/>
      <c r="K757" s="353"/>
    </row>
    <row r="758" spans="1:11">
      <c r="A758" s="337"/>
      <c r="B758" s="338" t="s">
        <v>309</v>
      </c>
      <c r="D758" s="1244" t="s">
        <v>526</v>
      </c>
      <c r="E758" s="1244"/>
      <c r="F758" s="1244"/>
      <c r="G758" s="353"/>
      <c r="H758" s="353"/>
      <c r="I758" s="336"/>
      <c r="J758" s="353"/>
      <c r="K758" s="353"/>
    </row>
    <row r="759" spans="1:11" ht="10.5" customHeight="1">
      <c r="D759" s="1244"/>
      <c r="E759" s="1244"/>
      <c r="F759" s="1244"/>
      <c r="G759" s="353"/>
      <c r="H759" s="353"/>
      <c r="I759" s="336"/>
      <c r="J759" s="353"/>
      <c r="K759" s="353"/>
    </row>
    <row r="760" spans="1:11">
      <c r="D760" s="1244"/>
      <c r="E760" s="1244"/>
      <c r="F760" s="1244"/>
      <c r="G760" s="353"/>
      <c r="H760" s="353"/>
      <c r="I760" s="336"/>
      <c r="J760" s="353"/>
      <c r="K760" s="353"/>
    </row>
    <row r="761" spans="1:11">
      <c r="D761" s="1244"/>
      <c r="E761" s="1244"/>
      <c r="F761" s="1244"/>
      <c r="G761" s="353"/>
      <c r="H761" s="353"/>
      <c r="I761" s="336"/>
      <c r="J761" s="353"/>
      <c r="K761" s="353"/>
    </row>
    <row r="762" spans="1:11">
      <c r="D762" s="1244"/>
      <c r="E762" s="1244"/>
      <c r="F762" s="1244"/>
      <c r="G762" s="353"/>
      <c r="H762" s="353"/>
      <c r="I762" s="336"/>
      <c r="J762" s="353"/>
      <c r="K762" s="353"/>
    </row>
    <row r="763" spans="1:11" ht="15.65" customHeight="1">
      <c r="D763" s="1244"/>
      <c r="E763" s="1244"/>
      <c r="F763" s="1244"/>
      <c r="G763" s="353"/>
      <c r="H763" s="353"/>
      <c r="I763" s="336"/>
      <c r="J763" s="353"/>
      <c r="K763" s="353"/>
    </row>
    <row r="764" spans="1:11">
      <c r="D764" s="351"/>
      <c r="E764" s="1131"/>
      <c r="F764" s="1131"/>
      <c r="G764" s="353"/>
      <c r="H764" s="353"/>
      <c r="I764" s="336"/>
      <c r="J764" s="353"/>
      <c r="K764" s="353"/>
    </row>
    <row r="765" spans="1:11" s="357" customFormat="1">
      <c r="A765" s="355"/>
      <c r="B765" s="338" t="s">
        <v>314</v>
      </c>
      <c r="C765" s="356"/>
      <c r="D765" s="1244" t="s">
        <v>527</v>
      </c>
      <c r="E765" s="1244"/>
      <c r="F765" s="1244"/>
      <c r="I765" s="941"/>
    </row>
    <row r="766" spans="1:11" s="357" customFormat="1">
      <c r="A766" s="356"/>
      <c r="B766" s="356"/>
      <c r="C766" s="356"/>
      <c r="D766" s="1244"/>
      <c r="E766" s="1244"/>
      <c r="F766" s="1244"/>
      <c r="I766" s="941"/>
    </row>
    <row r="767" spans="1:11" s="357" customFormat="1">
      <c r="A767" s="356"/>
      <c r="B767" s="356"/>
      <c r="C767" s="356"/>
      <c r="D767" s="1244"/>
      <c r="E767" s="1244"/>
      <c r="F767" s="1244"/>
      <c r="I767" s="941"/>
    </row>
    <row r="768" spans="1:11" s="357" customFormat="1">
      <c r="A768" s="356"/>
      <c r="B768" s="356"/>
      <c r="C768" s="356"/>
      <c r="D768" s="1244"/>
      <c r="E768" s="1244"/>
      <c r="F768" s="1244"/>
      <c r="I768" s="941"/>
    </row>
    <row r="769" spans="1:11" s="357" customFormat="1">
      <c r="A769" s="356"/>
      <c r="B769" s="356"/>
      <c r="C769" s="356"/>
      <c r="D769" s="351"/>
      <c r="I769" s="941"/>
    </row>
    <row r="770" spans="1:11" s="357" customFormat="1">
      <c r="A770" s="337"/>
      <c r="B770" s="338" t="s">
        <v>309</v>
      </c>
      <c r="C770" s="356"/>
      <c r="D770" s="1269" t="s">
        <v>528</v>
      </c>
      <c r="E770" s="1269"/>
      <c r="F770" s="1269"/>
      <c r="I770" s="941"/>
    </row>
    <row r="771" spans="1:11" s="357" customFormat="1">
      <c r="A771" s="356"/>
      <c r="B771" s="356"/>
      <c r="C771" s="356"/>
      <c r="D771" s="1269"/>
      <c r="E771" s="1269"/>
      <c r="F771" s="1269"/>
      <c r="I771" s="941"/>
    </row>
    <row r="772" spans="1:11" s="357" customFormat="1">
      <c r="A772" s="356"/>
      <c r="B772" s="356"/>
      <c r="C772" s="356"/>
      <c r="D772" s="1269"/>
      <c r="E772" s="1269"/>
      <c r="F772" s="1269"/>
      <c r="I772" s="941"/>
    </row>
    <row r="773" spans="1:11">
      <c r="D773" s="351"/>
      <c r="E773" s="1131"/>
      <c r="F773" s="1131"/>
      <c r="G773" s="353"/>
      <c r="H773" s="353"/>
      <c r="I773" s="336"/>
      <c r="J773" s="353"/>
      <c r="K773" s="353"/>
    </row>
    <row r="774" spans="1:11">
      <c r="A774" s="337"/>
      <c r="B774" s="338" t="s">
        <v>314</v>
      </c>
      <c r="D774" s="1244" t="s">
        <v>529</v>
      </c>
      <c r="E774" s="1244"/>
      <c r="F774" s="1244"/>
      <c r="G774" s="353"/>
      <c r="H774" s="353"/>
      <c r="I774" s="336"/>
      <c r="J774" s="353"/>
      <c r="K774" s="353"/>
    </row>
    <row r="775" spans="1:11">
      <c r="D775" s="1244"/>
      <c r="E775" s="1244"/>
      <c r="F775" s="1244"/>
      <c r="G775" s="353"/>
      <c r="H775" s="353"/>
      <c r="I775" s="336"/>
      <c r="J775" s="353"/>
      <c r="K775" s="353"/>
    </row>
    <row r="776" spans="1:11">
      <c r="D776" s="1132"/>
      <c r="E776" s="1132"/>
      <c r="F776" s="1132"/>
      <c r="G776" s="353"/>
      <c r="H776" s="353"/>
      <c r="I776" s="336"/>
      <c r="J776" s="353"/>
      <c r="K776" s="353"/>
    </row>
    <row r="777" spans="1:11">
      <c r="B777" s="338" t="s">
        <v>314</v>
      </c>
      <c r="D777" s="1244" t="s">
        <v>530</v>
      </c>
      <c r="E777" s="1244"/>
      <c r="F777" s="1244"/>
      <c r="G777" s="353"/>
      <c r="H777" s="353"/>
      <c r="I777" s="336"/>
      <c r="J777" s="353"/>
      <c r="K777" s="353"/>
    </row>
    <row r="778" spans="1:11">
      <c r="D778" s="1244"/>
      <c r="E778" s="1244"/>
      <c r="F778" s="1244"/>
      <c r="G778" s="353"/>
      <c r="H778" s="353"/>
      <c r="I778" s="336"/>
      <c r="J778" s="353"/>
      <c r="K778" s="353"/>
    </row>
    <row r="779" spans="1:11">
      <c r="D779" s="1244"/>
      <c r="E779" s="1244"/>
      <c r="F779" s="1244"/>
      <c r="G779" s="353"/>
      <c r="H779" s="353"/>
      <c r="I779" s="336"/>
      <c r="J779" s="353"/>
      <c r="K779" s="353"/>
    </row>
    <row r="780" spans="1:11">
      <c r="D780" s="1132"/>
      <c r="E780" s="1132"/>
      <c r="F780" s="1132"/>
      <c r="G780" s="353"/>
      <c r="H780" s="353"/>
      <c r="I780" s="336"/>
      <c r="J780" s="353"/>
      <c r="K780" s="353"/>
    </row>
    <row r="781" spans="1:11">
      <c r="A781" s="1276" t="s">
        <v>531</v>
      </c>
      <c r="B781" s="1276"/>
      <c r="C781" s="1276"/>
      <c r="D781" s="1276"/>
      <c r="E781" s="1276"/>
      <c r="F781" s="1276"/>
      <c r="G781" s="1276"/>
      <c r="H781" s="815"/>
      <c r="I781" s="936"/>
    </row>
    <row r="782" spans="1:11">
      <c r="A782" s="38"/>
      <c r="B782" s="38"/>
      <c r="C782" s="1151"/>
      <c r="D782" s="2"/>
      <c r="E782" s="2"/>
      <c r="F782" s="2"/>
      <c r="G782" s="2"/>
      <c r="I782" s="1140"/>
    </row>
    <row r="783" spans="1:11">
      <c r="A783" s="38"/>
      <c r="B783" s="38"/>
      <c r="C783" s="1151"/>
      <c r="D783" s="1275" t="s">
        <v>532</v>
      </c>
      <c r="E783" s="1275"/>
      <c r="F783" s="1275"/>
      <c r="G783" s="2"/>
      <c r="I783" s="1140"/>
    </row>
    <row r="784" spans="1:11">
      <c r="A784" s="38"/>
      <c r="B784" s="38"/>
      <c r="C784" s="1151"/>
      <c r="D784" s="1256" t="s">
        <v>533</v>
      </c>
      <c r="E784" s="1256"/>
      <c r="F784" s="1256"/>
      <c r="G784" s="2"/>
      <c r="I784" s="1140"/>
    </row>
    <row r="785" spans="1:9">
      <c r="A785" s="38"/>
      <c r="B785" s="38"/>
      <c r="C785" s="1151"/>
      <c r="D785" s="1139"/>
      <c r="E785" s="1139"/>
      <c r="F785" s="1139"/>
      <c r="G785" s="2"/>
      <c r="I785" s="1140"/>
    </row>
    <row r="786" spans="1:9">
      <c r="A786" s="38"/>
      <c r="B786" s="338" t="s">
        <v>309</v>
      </c>
      <c r="C786" s="1151"/>
      <c r="D786" s="1277" t="s">
        <v>534</v>
      </c>
      <c r="E786" s="1277"/>
      <c r="F786" s="1277"/>
      <c r="G786" s="2"/>
      <c r="I786" s="336"/>
    </row>
    <row r="787" spans="1:9">
      <c r="A787" s="38"/>
      <c r="B787" s="38"/>
      <c r="C787" s="1151"/>
      <c r="D787" s="1277"/>
      <c r="E787" s="1277"/>
      <c r="F787" s="1277"/>
      <c r="G787" s="2"/>
      <c r="I787" s="1140"/>
    </row>
    <row r="788" spans="1:9">
      <c r="A788" s="98"/>
      <c r="B788" s="98"/>
      <c r="C788" s="98"/>
      <c r="D788" s="1277"/>
      <c r="E788" s="1277"/>
      <c r="F788" s="1277"/>
      <c r="G788" s="68"/>
      <c r="I788" s="1140"/>
    </row>
    <row r="789" spans="1:9">
      <c r="A789" s="1151"/>
      <c r="B789" s="1151"/>
      <c r="C789" s="1151"/>
      <c r="D789" s="1128"/>
      <c r="E789" s="2"/>
      <c r="F789" s="2"/>
      <c r="G789" s="2"/>
      <c r="I789" s="1140"/>
    </row>
    <row r="790" spans="1:9">
      <c r="A790" s="97"/>
      <c r="B790" s="338" t="s">
        <v>314</v>
      </c>
      <c r="C790" s="97"/>
      <c r="D790" s="1277" t="s">
        <v>535</v>
      </c>
      <c r="E790" s="1277"/>
      <c r="F790" s="1277"/>
      <c r="G790" s="2"/>
      <c r="I790" s="336"/>
    </row>
    <row r="791" spans="1:9">
      <c r="A791" s="97"/>
      <c r="B791" s="97"/>
      <c r="C791" s="97"/>
      <c r="D791" s="1277"/>
      <c r="E791" s="1277"/>
      <c r="F791" s="1277"/>
      <c r="G791" s="2"/>
      <c r="I791" s="1140"/>
    </row>
    <row r="792" spans="1:9">
      <c r="A792" s="97"/>
      <c r="B792" s="97"/>
      <c r="C792" s="97"/>
      <c r="D792" s="1277"/>
      <c r="E792" s="1277"/>
      <c r="F792" s="1277"/>
      <c r="G792" s="2"/>
      <c r="I792" s="1140"/>
    </row>
    <row r="793" spans="1:9">
      <c r="A793" s="98"/>
      <c r="B793" s="98"/>
      <c r="C793" s="98"/>
      <c r="D793" s="2"/>
      <c r="E793" s="784"/>
      <c r="F793" s="784"/>
      <c r="G793" s="784"/>
      <c r="I793" s="1140"/>
    </row>
    <row r="794" spans="1:9">
      <c r="A794" s="99"/>
      <c r="B794" s="338" t="s">
        <v>314</v>
      </c>
      <c r="C794" s="785"/>
      <c r="D794" s="1277" t="s">
        <v>536</v>
      </c>
      <c r="E794" s="1277"/>
      <c r="F794" s="1277"/>
      <c r="G794" s="784"/>
      <c r="I794" s="336"/>
    </row>
    <row r="795" spans="1:9">
      <c r="A795" s="99"/>
      <c r="B795" s="99"/>
      <c r="C795" s="785"/>
      <c r="D795" s="1277"/>
      <c r="E795" s="1277"/>
      <c r="F795" s="1277"/>
      <c r="G795" s="784"/>
      <c r="I795" s="1140"/>
    </row>
    <row r="796" spans="1:9">
      <c r="A796" s="99"/>
      <c r="B796" s="99"/>
      <c r="C796" s="785"/>
      <c r="D796" s="1277"/>
      <c r="E796" s="1277"/>
      <c r="F796" s="1277"/>
      <c r="G796" s="784"/>
      <c r="I796" s="1140"/>
    </row>
    <row r="797" spans="1:9">
      <c r="A797" s="99"/>
      <c r="B797" s="99"/>
      <c r="C797" s="785"/>
      <c r="D797" s="68"/>
      <c r="E797" s="2"/>
      <c r="F797" s="2"/>
      <c r="G797" s="784"/>
      <c r="I797" s="1140"/>
    </row>
    <row r="798" spans="1:9">
      <c r="A798" s="99"/>
      <c r="B798" s="338" t="s">
        <v>314</v>
      </c>
      <c r="C798" s="785"/>
      <c r="D798" s="1277" t="s">
        <v>537</v>
      </c>
      <c r="E798" s="1277"/>
      <c r="F798" s="1277"/>
      <c r="G798" s="784"/>
      <c r="I798" s="336"/>
    </row>
    <row r="799" spans="1:9">
      <c r="A799" s="99"/>
      <c r="B799" s="99"/>
      <c r="C799" s="785"/>
      <c r="D799" s="1277"/>
      <c r="E799" s="1277"/>
      <c r="F799" s="1277"/>
      <c r="G799" s="784"/>
      <c r="I799" s="1140"/>
    </row>
    <row r="800" spans="1:9">
      <c r="A800" s="99"/>
      <c r="B800" s="99"/>
      <c r="C800" s="785"/>
      <c r="D800" s="1277"/>
      <c r="E800" s="1277"/>
      <c r="F800" s="1277"/>
      <c r="G800" s="784"/>
      <c r="I800" s="1140"/>
    </row>
    <row r="801" spans="1:9">
      <c r="A801" s="99"/>
      <c r="B801" s="99"/>
      <c r="C801" s="785"/>
      <c r="D801" s="1277"/>
      <c r="E801" s="1277"/>
      <c r="F801" s="1277"/>
      <c r="G801" s="784"/>
      <c r="I801" s="1140"/>
    </row>
    <row r="802" spans="1:9">
      <c r="A802" s="99"/>
      <c r="B802" s="99"/>
      <c r="C802" s="785"/>
      <c r="D802" s="1277"/>
      <c r="E802" s="1277"/>
      <c r="F802" s="1277"/>
      <c r="G802" s="784"/>
      <c r="I802" s="1140"/>
    </row>
    <row r="803" spans="1:9">
      <c r="A803" s="99"/>
      <c r="B803" s="99"/>
      <c r="C803" s="785"/>
      <c r="D803" s="1277"/>
      <c r="E803" s="1277"/>
      <c r="F803" s="1277"/>
      <c r="G803" s="784"/>
      <c r="I803" s="1140"/>
    </row>
    <row r="804" spans="1:9">
      <c r="A804" s="99"/>
      <c r="B804" s="99"/>
      <c r="C804" s="785"/>
      <c r="D804" s="1277" t="s">
        <v>538</v>
      </c>
      <c r="E804" s="1277"/>
      <c r="F804" s="1277"/>
      <c r="G804" s="784"/>
      <c r="I804" s="1140"/>
    </row>
    <row r="805" spans="1:9">
      <c r="A805" s="99"/>
      <c r="B805" s="99"/>
      <c r="C805" s="785"/>
      <c r="D805" s="1277"/>
      <c r="E805" s="1277"/>
      <c r="F805" s="1277"/>
      <c r="G805" s="784"/>
      <c r="I805" s="1140"/>
    </row>
    <row r="806" spans="1:9">
      <c r="A806" s="99"/>
      <c r="B806" s="99"/>
      <c r="C806" s="785"/>
      <c r="D806" s="1277"/>
      <c r="E806" s="1277"/>
      <c r="F806" s="1277"/>
      <c r="G806" s="784"/>
      <c r="I806" s="1140"/>
    </row>
    <row r="807" spans="1:9">
      <c r="A807" s="99"/>
      <c r="B807" s="1151"/>
      <c r="C807" s="785"/>
      <c r="D807" s="786"/>
      <c r="E807" s="786"/>
      <c r="F807" s="786"/>
      <c r="G807" s="784"/>
      <c r="I807" s="1140"/>
    </row>
    <row r="808" spans="1:9">
      <c r="A808" s="99"/>
      <c r="B808" s="338" t="s">
        <v>314</v>
      </c>
      <c r="C808" s="785"/>
      <c r="D808" s="1277" t="s">
        <v>539</v>
      </c>
      <c r="E808" s="1277"/>
      <c r="F808" s="1277"/>
      <c r="G808" s="784"/>
      <c r="I808" s="336"/>
    </row>
    <row r="809" spans="1:9">
      <c r="A809" s="99"/>
      <c r="B809" s="99"/>
      <c r="C809" s="785"/>
      <c r="D809" s="1277"/>
      <c r="E809" s="1277"/>
      <c r="F809" s="1277"/>
      <c r="G809" s="784"/>
      <c r="I809" s="1140"/>
    </row>
    <row r="810" spans="1:9">
      <c r="A810" s="99"/>
      <c r="B810" s="99"/>
      <c r="C810" s="785"/>
      <c r="D810" s="1277"/>
      <c r="E810" s="1277"/>
      <c r="F810" s="1277"/>
      <c r="G810" s="784"/>
      <c r="I810" s="1140"/>
    </row>
    <row r="811" spans="1:9">
      <c r="A811" s="99"/>
      <c r="B811" s="99"/>
      <c r="C811" s="785"/>
      <c r="D811" s="1277"/>
      <c r="E811" s="1277"/>
      <c r="F811" s="1277"/>
      <c r="G811" s="784"/>
      <c r="I811" s="1140"/>
    </row>
    <row r="812" spans="1:9">
      <c r="A812" s="99"/>
      <c r="B812" s="99"/>
      <c r="C812" s="785"/>
      <c r="D812" s="1277"/>
      <c r="E812" s="1277"/>
      <c r="F812" s="1277"/>
      <c r="G812" s="784"/>
      <c r="I812" s="1140"/>
    </row>
    <row r="813" spans="1:9">
      <c r="A813" s="99"/>
      <c r="B813" s="99"/>
      <c r="C813" s="785"/>
      <c r="D813" s="1277"/>
      <c r="E813" s="1277"/>
      <c r="F813" s="1277"/>
      <c r="G813" s="784"/>
      <c r="I813" s="1140"/>
    </row>
    <row r="814" spans="1:9">
      <c r="A814" s="99"/>
      <c r="B814" s="99"/>
      <c r="C814" s="785"/>
      <c r="D814" s="1127"/>
      <c r="E814" s="1127"/>
      <c r="F814" s="1127"/>
      <c r="G814" s="784"/>
      <c r="I814" s="1140"/>
    </row>
    <row r="815" spans="1:9">
      <c r="A815" s="99"/>
      <c r="B815" s="338" t="s">
        <v>314</v>
      </c>
      <c r="C815" s="785"/>
      <c r="D815" s="1277" t="s">
        <v>540</v>
      </c>
      <c r="E815" s="1277"/>
      <c r="F815" s="1277"/>
      <c r="G815" s="784"/>
      <c r="I815" s="336"/>
    </row>
    <row r="816" spans="1:9">
      <c r="A816" s="99"/>
      <c r="B816" s="99"/>
      <c r="C816" s="785"/>
      <c r="D816" s="1277"/>
      <c r="E816" s="1277"/>
      <c r="F816" s="1277"/>
      <c r="G816" s="784"/>
      <c r="I816" s="1140"/>
    </row>
    <row r="817" spans="1:9">
      <c r="A817" s="99"/>
      <c r="B817" s="99"/>
      <c r="C817" s="785"/>
      <c r="D817" s="1277"/>
      <c r="E817" s="1277"/>
      <c r="F817" s="1277"/>
      <c r="G817" s="784"/>
      <c r="I817" s="1140"/>
    </row>
    <row r="818" spans="1:9">
      <c r="A818" s="99"/>
      <c r="B818" s="99"/>
      <c r="C818" s="785"/>
      <c r="D818" s="1277"/>
      <c r="E818" s="1277"/>
      <c r="F818" s="1277"/>
      <c r="G818" s="784"/>
      <c r="I818" s="1140"/>
    </row>
    <row r="819" spans="1:9">
      <c r="A819" s="99"/>
      <c r="B819" s="99"/>
      <c r="C819" s="785"/>
      <c r="D819" s="1277"/>
      <c r="E819" s="1277"/>
      <c r="F819" s="1277"/>
      <c r="G819" s="784"/>
      <c r="I819" s="1140"/>
    </row>
    <row r="820" spans="1:9">
      <c r="A820" s="99"/>
      <c r="B820" s="99"/>
      <c r="C820" s="785"/>
      <c r="D820" s="1277"/>
      <c r="E820" s="1277"/>
      <c r="F820" s="1277"/>
      <c r="G820" s="784"/>
      <c r="I820" s="1140"/>
    </row>
    <row r="821" spans="1:9">
      <c r="A821" s="99"/>
      <c r="B821" s="99"/>
      <c r="C821" s="785"/>
      <c r="D821" s="1127"/>
      <c r="E821" s="1127"/>
      <c r="F821" s="1127"/>
      <c r="G821" s="784"/>
      <c r="I821" s="1140"/>
    </row>
    <row r="822" spans="1:9">
      <c r="A822" s="99"/>
      <c r="B822" s="338" t="s">
        <v>314</v>
      </c>
      <c r="C822" s="785"/>
      <c r="D822" s="1249" t="s">
        <v>541</v>
      </c>
      <c r="E822" s="1249"/>
      <c r="F822" s="1249"/>
      <c r="G822" s="784"/>
      <c r="I822" s="336"/>
    </row>
    <row r="823" spans="1:9">
      <c r="A823" s="99"/>
      <c r="B823" s="99"/>
      <c r="C823" s="785"/>
      <c r="D823" s="1249"/>
      <c r="E823" s="1249"/>
      <c r="F823" s="1249"/>
      <c r="G823" s="784"/>
      <c r="I823" s="1140"/>
    </row>
    <row r="824" spans="1:9">
      <c r="A824" s="1149"/>
      <c r="B824" s="1149"/>
      <c r="C824" s="785"/>
      <c r="D824" s="1249"/>
      <c r="E824" s="1249"/>
      <c r="F824" s="1249"/>
      <c r="G824" s="784"/>
      <c r="I824" s="1140"/>
    </row>
    <row r="825" spans="1:9">
      <c r="A825" s="99"/>
      <c r="B825" s="1149"/>
      <c r="C825" s="785"/>
      <c r="D825" s="1249"/>
      <c r="E825" s="1249"/>
      <c r="F825" s="1249"/>
      <c r="G825" s="784"/>
      <c r="I825" s="1140"/>
    </row>
    <row r="826" spans="1:9" ht="12.75" customHeight="1">
      <c r="A826" s="99"/>
      <c r="B826" s="1149"/>
      <c r="C826" s="785"/>
      <c r="D826" s="1249"/>
      <c r="E826" s="1249"/>
      <c r="F826" s="1249"/>
      <c r="G826" s="784"/>
      <c r="I826" s="1140"/>
    </row>
    <row r="827" spans="1:9" ht="12.75" customHeight="1">
      <c r="A827" s="99"/>
      <c r="B827" s="1149"/>
      <c r="C827" s="785"/>
      <c r="D827" s="1249"/>
      <c r="E827" s="1249"/>
      <c r="F827" s="1249"/>
      <c r="G827" s="784"/>
      <c r="I827" s="1140"/>
    </row>
    <row r="828" spans="1:9" ht="12.75" customHeight="1">
      <c r="A828" s="1149"/>
      <c r="B828" s="1149"/>
      <c r="C828" s="785"/>
      <c r="D828" s="784"/>
      <c r="E828" s="2"/>
      <c r="F828" s="2"/>
      <c r="G828" s="784"/>
      <c r="I828" s="1140"/>
    </row>
    <row r="829" spans="1:9" ht="12.75" customHeight="1">
      <c r="A829" s="1270" t="s">
        <v>542</v>
      </c>
      <c r="B829" s="1270"/>
      <c r="C829" s="1270"/>
      <c r="D829" s="1270"/>
      <c r="E829" s="1270"/>
      <c r="F829" s="1270"/>
      <c r="G829" s="1270"/>
      <c r="H829" s="815"/>
      <c r="I829" s="936"/>
    </row>
    <row r="830" spans="1:9" ht="12.75" customHeight="1">
      <c r="A830" s="97"/>
      <c r="B830" s="97"/>
      <c r="C830" s="785"/>
      <c r="D830" s="784"/>
      <c r="E830" s="784"/>
      <c r="F830" s="784"/>
      <c r="G830" s="784"/>
      <c r="I830" s="1140"/>
    </row>
    <row r="831" spans="1:9" ht="12.75" customHeight="1">
      <c r="A831" s="99"/>
      <c r="B831" s="99"/>
      <c r="C831" s="1151"/>
      <c r="D831" s="1274" t="s">
        <v>543</v>
      </c>
      <c r="E831" s="1274"/>
      <c r="F831" s="1274"/>
      <c r="G831" s="2"/>
      <c r="I831" s="1140"/>
    </row>
    <row r="832" spans="1:9" ht="14.25" customHeight="1">
      <c r="A832" s="99"/>
      <c r="B832" s="99"/>
      <c r="C832" s="1151"/>
      <c r="D832" s="1221" t="s">
        <v>544</v>
      </c>
      <c r="E832" s="1221"/>
      <c r="F832" s="1221"/>
      <c r="G832" s="2"/>
      <c r="I832" s="1140"/>
    </row>
    <row r="833" spans="1:9" ht="12.75" customHeight="1">
      <c r="A833" s="99"/>
      <c r="B833" s="99"/>
      <c r="C833" s="1151"/>
      <c r="D833" s="1112"/>
      <c r="E833" s="1112"/>
      <c r="F833" s="1112"/>
      <c r="G833" s="2"/>
      <c r="I833" s="1140"/>
    </row>
    <row r="834" spans="1:9" ht="12.75" customHeight="1">
      <c r="A834" s="1151"/>
      <c r="B834" s="338" t="s">
        <v>309</v>
      </c>
      <c r="C834" s="785"/>
      <c r="D834" s="1221" t="s">
        <v>545</v>
      </c>
      <c r="E834" s="1221"/>
      <c r="F834" s="1221"/>
      <c r="G834" s="2"/>
      <c r="I834" s="1140" t="s">
        <v>546</v>
      </c>
    </row>
    <row r="835" spans="1:9" ht="14.25" customHeight="1">
      <c r="A835" s="1149"/>
      <c r="B835" s="1149"/>
      <c r="C835" s="785"/>
      <c r="E835" s="823" t="s">
        <v>375</v>
      </c>
      <c r="F835" s="1129"/>
      <c r="G835" s="2"/>
      <c r="I835" s="1140"/>
    </row>
    <row r="836" spans="1:9" ht="12.75" customHeight="1">
      <c r="A836" s="1149"/>
      <c r="B836" s="1149"/>
      <c r="C836" s="785"/>
      <c r="D836" s="787"/>
      <c r="E836" s="2"/>
      <c r="F836" s="2"/>
      <c r="G836" s="2"/>
      <c r="I836" s="1140"/>
    </row>
    <row r="837" spans="1:9" ht="14.25" hidden="1" customHeight="1">
      <c r="A837" s="1149"/>
      <c r="B837" s="338" t="s">
        <v>547</v>
      </c>
      <c r="C837" s="785"/>
      <c r="D837" s="1279" t="s">
        <v>548</v>
      </c>
      <c r="E837" s="1279"/>
      <c r="F837" s="1279"/>
      <c r="G837" s="2"/>
      <c r="I837" s="1140"/>
    </row>
    <row r="838" spans="1:9" ht="12.75" hidden="1" customHeight="1">
      <c r="A838" s="1149"/>
      <c r="B838" s="1149"/>
      <c r="C838" s="785"/>
      <c r="D838" s="1279"/>
      <c r="E838" s="1279"/>
      <c r="F838" s="1279"/>
      <c r="G838" s="2"/>
      <c r="I838" s="1140"/>
    </row>
    <row r="839" spans="1:9" ht="12.75" hidden="1" customHeight="1">
      <c r="A839" s="1149"/>
      <c r="B839" s="1149"/>
      <c r="C839" s="785"/>
      <c r="D839" s="1279"/>
      <c r="E839" s="1279"/>
      <c r="F839" s="1279"/>
      <c r="G839" s="2"/>
      <c r="I839" s="1140"/>
    </row>
    <row r="840" spans="1:9" ht="12.75" hidden="1" customHeight="1">
      <c r="A840" s="1149"/>
      <c r="B840" s="1149"/>
      <c r="C840" s="785"/>
      <c r="D840" s="1279"/>
      <c r="E840" s="1279"/>
      <c r="F840" s="1279"/>
      <c r="G840" s="2"/>
      <c r="I840" s="1140"/>
    </row>
    <row r="841" spans="1:9" ht="12.75" hidden="1" customHeight="1">
      <c r="A841" s="1149"/>
      <c r="B841" s="1149"/>
      <c r="C841" s="785"/>
      <c r="D841" s="1279"/>
      <c r="E841" s="1279"/>
      <c r="F841" s="1279"/>
      <c r="G841" s="2"/>
      <c r="I841" s="1140"/>
    </row>
    <row r="842" spans="1:9" ht="12.75" hidden="1" customHeight="1">
      <c r="A842" s="1149"/>
      <c r="B842" s="1149"/>
      <c r="C842" s="785"/>
      <c r="D842" s="1279"/>
      <c r="E842" s="1279"/>
      <c r="F842" s="1279"/>
      <c r="G842" s="2"/>
      <c r="I842" s="1140"/>
    </row>
    <row r="843" spans="1:9" ht="12.75" hidden="1" customHeight="1">
      <c r="A843" s="1149"/>
      <c r="B843" s="1149"/>
      <c r="C843" s="785"/>
      <c r="D843" s="1279"/>
      <c r="E843" s="1279"/>
      <c r="F843" s="1279"/>
      <c r="G843" s="2"/>
      <c r="I843" s="1140"/>
    </row>
    <row r="844" spans="1:9" ht="12.75" hidden="1" customHeight="1">
      <c r="A844" s="1149"/>
      <c r="B844" s="1149"/>
      <c r="C844" s="785"/>
      <c r="D844" s="1279"/>
      <c r="E844" s="1279"/>
      <c r="F844" s="1279"/>
      <c r="G844" s="2"/>
      <c r="I844" s="1140"/>
    </row>
    <row r="845" spans="1:9" ht="12.75" hidden="1" customHeight="1">
      <c r="A845" s="1149"/>
      <c r="B845" s="1149"/>
      <c r="C845" s="785"/>
      <c r="D845" s="1279"/>
      <c r="E845" s="1279"/>
      <c r="F845" s="1279"/>
      <c r="G845" s="2"/>
      <c r="I845" s="1140"/>
    </row>
    <row r="846" spans="1:9" ht="12.75" hidden="1" customHeight="1">
      <c r="A846" s="1149"/>
      <c r="B846" s="1149"/>
      <c r="C846" s="785"/>
      <c r="D846" s="1279"/>
      <c r="E846" s="1279"/>
      <c r="F846" s="1279"/>
      <c r="G846" s="2"/>
      <c r="I846" s="1140"/>
    </row>
    <row r="847" spans="1:9" ht="12.75" hidden="1" customHeight="1">
      <c r="A847" s="1149"/>
      <c r="B847" s="1149"/>
      <c r="C847" s="785"/>
      <c r="D847" s="787"/>
      <c r="E847" s="2"/>
      <c r="F847" s="2"/>
      <c r="G847" s="2"/>
      <c r="I847" s="1140"/>
    </row>
    <row r="848" spans="1:9" ht="12.75" customHeight="1">
      <c r="A848" s="99"/>
      <c r="B848" s="338" t="s">
        <v>309</v>
      </c>
      <c r="C848" s="785"/>
      <c r="D848" s="1221" t="s">
        <v>549</v>
      </c>
      <c r="E848" s="1221"/>
      <c r="F848" s="1221"/>
      <c r="G848" s="2"/>
      <c r="I848" s="1140" t="s">
        <v>550</v>
      </c>
    </row>
    <row r="849" spans="1:9" ht="12.75" customHeight="1">
      <c r="A849" s="99"/>
      <c r="B849" s="99"/>
      <c r="C849" s="785"/>
      <c r="D849" s="1221"/>
      <c r="E849" s="1221"/>
      <c r="F849" s="1221"/>
      <c r="G849" s="2"/>
      <c r="I849" s="1140"/>
    </row>
    <row r="850" spans="1:9" ht="12.75" customHeight="1">
      <c r="A850" s="99"/>
      <c r="B850" s="99"/>
      <c r="C850" s="785"/>
      <c r="D850" s="1221"/>
      <c r="E850" s="1221"/>
      <c r="F850" s="1221"/>
      <c r="G850" s="2"/>
      <c r="I850" s="1140"/>
    </row>
    <row r="851" spans="1:9" ht="12.75" customHeight="1">
      <c r="A851" s="99"/>
      <c r="B851" s="99"/>
      <c r="C851" s="785"/>
      <c r="D851" s="68"/>
      <c r="E851" s="2"/>
      <c r="F851" s="2"/>
      <c r="G851" s="2"/>
      <c r="I851" s="1140"/>
    </row>
    <row r="852" spans="1:9" ht="12.75" customHeight="1">
      <c r="A852" s="788"/>
      <c r="B852" s="338" t="s">
        <v>314</v>
      </c>
      <c r="C852" s="785"/>
      <c r="D852" s="1274" t="s">
        <v>551</v>
      </c>
      <c r="E852" s="1274"/>
      <c r="F852" s="1274"/>
      <c r="G852" s="2"/>
      <c r="I852" s="1140"/>
    </row>
    <row r="853" spans="1:9" ht="12.75" customHeight="1">
      <c r="A853" s="1151"/>
      <c r="B853" s="788"/>
      <c r="C853" s="785"/>
      <c r="D853" s="1274"/>
      <c r="E853" s="1274"/>
      <c r="F853" s="1274"/>
      <c r="G853" s="2"/>
      <c r="I853" s="1140"/>
    </row>
    <row r="854" spans="1:9" ht="12.75" customHeight="1">
      <c r="A854" s="99"/>
      <c r="B854" s="1151"/>
      <c r="C854" s="785"/>
      <c r="D854" s="1221" t="s">
        <v>552</v>
      </c>
      <c r="E854" s="1221"/>
      <c r="F854" s="1221"/>
      <c r="G854" s="2"/>
      <c r="I854" s="1140"/>
    </row>
    <row r="855" spans="1:9" ht="12.75" customHeight="1">
      <c r="A855" s="99"/>
      <c r="B855" s="99"/>
      <c r="C855" s="785"/>
      <c r="D855" s="1221"/>
      <c r="E855" s="1221"/>
      <c r="F855" s="1221"/>
      <c r="G855" s="2"/>
      <c r="I855" s="1140"/>
    </row>
    <row r="856" spans="1:9" ht="12.75" customHeight="1">
      <c r="A856" s="99"/>
      <c r="B856" s="99"/>
      <c r="C856" s="785"/>
      <c r="D856" s="1221"/>
      <c r="E856" s="1221"/>
      <c r="F856" s="1221"/>
      <c r="G856" s="2"/>
      <c r="I856" s="1140"/>
    </row>
    <row r="857" spans="1:9" ht="12.75" customHeight="1">
      <c r="A857" s="99"/>
      <c r="B857" s="99"/>
      <c r="C857" s="785"/>
      <c r="D857" s="1221"/>
      <c r="E857" s="1221"/>
      <c r="F857" s="1221"/>
      <c r="G857" s="2"/>
      <c r="I857" s="1140"/>
    </row>
    <row r="858" spans="1:9" ht="12.75" customHeight="1">
      <c r="A858" s="99"/>
      <c r="B858" s="99"/>
      <c r="C858" s="785"/>
      <c r="D858" s="1221"/>
      <c r="E858" s="1221"/>
      <c r="F858" s="1221"/>
      <c r="G858" s="2"/>
      <c r="I858" s="1140"/>
    </row>
    <row r="859" spans="1:9" ht="12.75" customHeight="1">
      <c r="A859" s="99"/>
      <c r="B859" s="99"/>
      <c r="C859" s="785"/>
      <c r="D859" s="1221"/>
      <c r="E859" s="1221"/>
      <c r="F859" s="1221"/>
      <c r="G859" s="2"/>
      <c r="I859" s="1140"/>
    </row>
    <row r="860" spans="1:9" ht="12.75" customHeight="1">
      <c r="A860" s="99"/>
      <c r="B860" s="99"/>
      <c r="C860" s="785"/>
      <c r="D860" s="68"/>
      <c r="E860" s="2"/>
      <c r="F860" s="2"/>
      <c r="G860" s="2"/>
      <c r="I860" s="1140"/>
    </row>
    <row r="861" spans="1:9" ht="12.75" customHeight="1">
      <c r="A861" s="99"/>
      <c r="B861" s="338" t="s">
        <v>314</v>
      </c>
      <c r="C861" s="785"/>
      <c r="D861" s="1221" t="s">
        <v>553</v>
      </c>
      <c r="E861" s="1221"/>
      <c r="F861" s="1221"/>
      <c r="G861" s="2"/>
      <c r="I861" s="1140" t="s">
        <v>554</v>
      </c>
    </row>
    <row r="862" spans="1:9" ht="12.75" customHeight="1">
      <c r="A862" s="99"/>
      <c r="B862" s="99"/>
      <c r="C862" s="785"/>
      <c r="D862" s="1221" t="s">
        <v>555</v>
      </c>
      <c r="E862" s="1221"/>
      <c r="F862" s="1221"/>
      <c r="G862" s="2"/>
      <c r="I862" s="1140"/>
    </row>
    <row r="863" spans="1:9" ht="12.75" customHeight="1">
      <c r="A863" s="99"/>
      <c r="B863" s="99"/>
      <c r="C863" s="785"/>
      <c r="E863" s="823" t="s">
        <v>384</v>
      </c>
      <c r="F863" s="1129"/>
      <c r="G863" s="2"/>
      <c r="I863" s="1140"/>
    </row>
    <row r="864" spans="1:9" ht="12.75" customHeight="1">
      <c r="A864" s="99"/>
      <c r="B864" s="99"/>
      <c r="C864" s="785"/>
      <c r="D864" s="68"/>
      <c r="E864" s="2"/>
      <c r="F864" s="2"/>
      <c r="G864" s="2"/>
      <c r="I864" s="1140"/>
    </row>
    <row r="865" spans="1:9" ht="12.75" customHeight="1">
      <c r="A865" s="99"/>
      <c r="B865" s="338" t="s">
        <v>314</v>
      </c>
      <c r="C865" s="785"/>
      <c r="D865" s="1221" t="s">
        <v>556</v>
      </c>
      <c r="E865" s="1221"/>
      <c r="F865" s="1221"/>
      <c r="G865" s="2"/>
      <c r="I865" s="1140" t="s">
        <v>557</v>
      </c>
    </row>
    <row r="866" spans="1:9" ht="12.75" customHeight="1">
      <c r="A866" s="99"/>
      <c r="B866" s="99"/>
      <c r="C866" s="785"/>
      <c r="D866" s="1221"/>
      <c r="E866" s="1221"/>
      <c r="F866" s="1221"/>
      <c r="G866" s="2"/>
      <c r="I866" s="1140"/>
    </row>
    <row r="867" spans="1:9" ht="12.75" customHeight="1">
      <c r="A867" s="99"/>
      <c r="B867" s="99"/>
      <c r="C867" s="785"/>
      <c r="D867" s="1221"/>
      <c r="E867" s="1221"/>
      <c r="F867" s="1221"/>
      <c r="G867" s="2"/>
      <c r="I867" s="1140"/>
    </row>
    <row r="868" spans="1:9" ht="12.75" customHeight="1">
      <c r="A868" s="99"/>
      <c r="B868" s="99"/>
      <c r="C868" s="785"/>
      <c r="D868" s="1221"/>
      <c r="E868" s="1221"/>
      <c r="F868" s="1221"/>
      <c r="G868" s="2"/>
      <c r="I868" s="1140"/>
    </row>
    <row r="869" spans="1:9" ht="12.75" customHeight="1">
      <c r="A869" s="97"/>
      <c r="B869" s="97"/>
      <c r="C869" s="97"/>
      <c r="D869" s="68"/>
      <c r="E869" s="2"/>
      <c r="F869" s="2"/>
      <c r="G869" s="2"/>
      <c r="I869" s="1140"/>
    </row>
    <row r="870" spans="1:9" ht="12.75" customHeight="1">
      <c r="A870" s="1124" t="s">
        <v>558</v>
      </c>
      <c r="B870" s="1124"/>
      <c r="C870" s="1175"/>
      <c r="D870" s="1175"/>
      <c r="E870" s="1175"/>
      <c r="F870" s="1175"/>
      <c r="G870" s="1175"/>
      <c r="H870" s="815"/>
      <c r="I870" s="936"/>
    </row>
    <row r="871" spans="1:9" ht="12.75" customHeight="1">
      <c r="A871" s="97"/>
      <c r="B871" s="97"/>
      <c r="C871" s="97"/>
      <c r="D871" s="789"/>
      <c r="E871" s="2"/>
      <c r="F871" s="2"/>
      <c r="G871" s="2"/>
      <c r="I871" s="1140"/>
    </row>
    <row r="872" spans="1:9" ht="12.75" customHeight="1">
      <c r="A872" s="1151"/>
      <c r="B872" s="1151"/>
      <c r="C872" s="98"/>
      <c r="D872" s="1283" t="s">
        <v>559</v>
      </c>
      <c r="E872" s="1283"/>
      <c r="F872" s="1283"/>
      <c r="G872" s="784"/>
      <c r="I872" s="1140"/>
    </row>
    <row r="873" spans="1:9" ht="12.75" customHeight="1">
      <c r="A873" s="1151"/>
      <c r="B873" s="1151"/>
      <c r="C873" s="98"/>
      <c r="D873" s="1278" t="s">
        <v>560</v>
      </c>
      <c r="E873" s="1278"/>
      <c r="F873" s="1278"/>
      <c r="G873" s="784"/>
      <c r="I873" s="1140"/>
    </row>
    <row r="874" spans="1:9" ht="12.75" customHeight="1">
      <c r="A874" s="1151"/>
      <c r="B874" s="1151"/>
      <c r="C874" s="98"/>
      <c r="D874" s="1135"/>
      <c r="E874" s="1135"/>
      <c r="F874" s="1135"/>
      <c r="G874" s="784"/>
      <c r="I874" s="1140"/>
    </row>
    <row r="875" spans="1:9" ht="12.75" customHeight="1">
      <c r="A875" s="99"/>
      <c r="B875" s="338" t="s">
        <v>309</v>
      </c>
      <c r="C875" s="1151"/>
      <c r="D875" s="1261" t="s">
        <v>561</v>
      </c>
      <c r="E875" s="1261"/>
      <c r="F875" s="1261"/>
      <c r="G875" s="784"/>
      <c r="I875" s="1140" t="s">
        <v>554</v>
      </c>
    </row>
    <row r="876" spans="1:9" ht="12.75" customHeight="1">
      <c r="A876" s="1151"/>
      <c r="B876" s="1151"/>
      <c r="C876" s="1151"/>
      <c r="D876" s="1" t="s">
        <v>355</v>
      </c>
      <c r="E876" s="823" t="s">
        <v>384</v>
      </c>
      <c r="F876" s="824"/>
      <c r="G876" s="784"/>
      <c r="I876" s="1140"/>
    </row>
    <row r="877" spans="1:9" ht="12.75" customHeight="1">
      <c r="A877" s="1151"/>
      <c r="B877" s="1151"/>
      <c r="C877" s="1151"/>
      <c r="D877" s="68"/>
      <c r="E877" s="784"/>
      <c r="F877" s="784"/>
      <c r="G877" s="784"/>
      <c r="I877" s="1140"/>
    </row>
    <row r="878" spans="1:9" ht="12.75" customHeight="1">
      <c r="A878" s="99"/>
      <c r="B878" s="338" t="s">
        <v>309</v>
      </c>
      <c r="C878" s="1151"/>
      <c r="D878" s="1221" t="s">
        <v>562</v>
      </c>
      <c r="E878" s="1271"/>
      <c r="F878" s="1271"/>
      <c r="G878" s="2"/>
      <c r="I878" s="1140" t="s">
        <v>557</v>
      </c>
    </row>
    <row r="879" spans="1:9" ht="12.75" customHeight="1">
      <c r="A879" s="1151"/>
      <c r="B879" s="1151"/>
      <c r="C879" s="1151"/>
      <c r="D879" s="1271"/>
      <c r="E879" s="1271"/>
      <c r="F879" s="1271"/>
      <c r="G879" s="2"/>
      <c r="I879" s="1140"/>
    </row>
    <row r="880" spans="1:9" ht="12.75" customHeight="1">
      <c r="A880" s="1151"/>
      <c r="B880" s="1151"/>
      <c r="C880" s="1151"/>
      <c r="D880" s="68"/>
      <c r="E880" s="2"/>
      <c r="F880" s="2"/>
      <c r="G880" s="2"/>
      <c r="I880" s="1140"/>
    </row>
    <row r="881" spans="1:9" ht="12.75" customHeight="1">
      <c r="A881" s="1151"/>
      <c r="B881" s="338" t="s">
        <v>314</v>
      </c>
      <c r="C881" s="1151"/>
      <c r="D881" s="1272" t="s">
        <v>563</v>
      </c>
      <c r="E881" s="1272"/>
      <c r="F881" s="1272"/>
      <c r="G881" s="784"/>
      <c r="I881" s="1140"/>
    </row>
    <row r="882" spans="1:9" ht="12.75" customHeight="1">
      <c r="A882" s="1151"/>
      <c r="B882" s="790"/>
      <c r="C882" s="1151"/>
      <c r="D882" s="1272"/>
      <c r="E882" s="1272"/>
      <c r="F882" s="1272"/>
      <c r="G882" s="784"/>
      <c r="I882" s="1140"/>
    </row>
    <row r="883" spans="1:9" ht="12.75" customHeight="1">
      <c r="A883" s="99"/>
      <c r="B883"/>
      <c r="C883" s="1151"/>
      <c r="D883" s="1221" t="s">
        <v>552</v>
      </c>
      <c r="E883" s="1221"/>
      <c r="F883" s="1221"/>
      <c r="G883" s="784"/>
      <c r="I883" s="1140"/>
    </row>
    <row r="884" spans="1:9" ht="12.75" customHeight="1">
      <c r="A884" s="99"/>
      <c r="B884" s="99"/>
      <c r="C884" s="1151"/>
      <c r="D884" s="1221"/>
      <c r="E884" s="1221"/>
      <c r="F884" s="1221"/>
      <c r="G884" s="784"/>
      <c r="I884" s="1140"/>
    </row>
    <row r="885" spans="1:9" ht="12.75" customHeight="1">
      <c r="A885" s="99"/>
      <c r="B885" s="99"/>
      <c r="C885" s="1151"/>
      <c r="D885" s="1221"/>
      <c r="E885" s="1221"/>
      <c r="F885" s="1221"/>
      <c r="G885" s="784"/>
      <c r="I885" s="1140"/>
    </row>
    <row r="886" spans="1:9" ht="12.75" customHeight="1">
      <c r="A886" s="99"/>
      <c r="B886" s="99"/>
      <c r="C886" s="1151"/>
      <c r="D886" s="1221"/>
      <c r="E886" s="1221"/>
      <c r="F886" s="1221"/>
      <c r="G886" s="784"/>
      <c r="I886" s="1140"/>
    </row>
    <row r="887" spans="1:9" ht="12.75" customHeight="1">
      <c r="A887" s="99"/>
      <c r="B887" s="99"/>
      <c r="C887" s="1151"/>
      <c r="D887" s="1221"/>
      <c r="E887" s="1221"/>
      <c r="F887" s="1221"/>
      <c r="G887" s="784"/>
      <c r="I887" s="1140"/>
    </row>
    <row r="888" spans="1:9" ht="12.75" customHeight="1">
      <c r="A888" s="99"/>
      <c r="B888" s="99"/>
      <c r="C888" s="1151"/>
      <c r="D888" s="1221"/>
      <c r="E888" s="1221"/>
      <c r="F888" s="1221"/>
      <c r="G888" s="784"/>
      <c r="I888" s="1140"/>
    </row>
    <row r="889" spans="1:9" ht="12.75" customHeight="1">
      <c r="A889" s="99"/>
      <c r="B889" s="99"/>
      <c r="C889" s="1151"/>
      <c r="D889" s="68"/>
      <c r="E889" s="784"/>
      <c r="F889" s="784"/>
      <c r="G889" s="784"/>
      <c r="I889" s="1140"/>
    </row>
    <row r="890" spans="1:9" ht="12.75" customHeight="1">
      <c r="A890" s="99"/>
      <c r="B890" s="338" t="s">
        <v>314</v>
      </c>
      <c r="C890" s="1151"/>
      <c r="D890" s="1262" t="s">
        <v>553</v>
      </c>
      <c r="E890" s="1262"/>
      <c r="F890" s="1262"/>
      <c r="G890" s="784"/>
      <c r="I890" s="1140"/>
    </row>
    <row r="891" spans="1:9" ht="12.75" customHeight="1">
      <c r="A891" s="99"/>
      <c r="B891" s="99"/>
      <c r="C891" s="1151"/>
      <c r="D891" s="1262" t="s">
        <v>555</v>
      </c>
      <c r="E891" s="1262"/>
      <c r="F891" s="1262"/>
      <c r="G891" s="784"/>
      <c r="I891" s="1140"/>
    </row>
    <row r="892" spans="1:9" ht="12.75" customHeight="1">
      <c r="A892" s="99"/>
      <c r="B892" s="99"/>
      <c r="C892" s="1151"/>
      <c r="D892" s="1" t="s">
        <v>564</v>
      </c>
      <c r="E892" s="823" t="s">
        <v>384</v>
      </c>
      <c r="F892" s="825"/>
      <c r="G892" s="784"/>
      <c r="I892" s="1140"/>
    </row>
    <row r="893" spans="1:9" ht="12.75" customHeight="1">
      <c r="A893" s="99"/>
      <c r="B893" s="99"/>
      <c r="C893" s="1151"/>
      <c r="D893" s="68"/>
      <c r="E893" s="784"/>
      <c r="F893" s="784"/>
      <c r="G893" s="784"/>
      <c r="I893" s="1140"/>
    </row>
    <row r="894" spans="1:9" ht="12.75" customHeight="1">
      <c r="A894" s="99"/>
      <c r="B894" s="338" t="s">
        <v>314</v>
      </c>
      <c r="C894" s="1151"/>
      <c r="D894" s="1221" t="s">
        <v>556</v>
      </c>
      <c r="E894" s="1221"/>
      <c r="F894" s="1221"/>
      <c r="G894" s="784"/>
      <c r="I894" s="1140"/>
    </row>
    <row r="895" spans="1:9" ht="12.75" customHeight="1">
      <c r="A895" s="99"/>
      <c r="B895" s="99"/>
      <c r="C895" s="1151"/>
      <c r="D895" s="1221"/>
      <c r="E895" s="1221"/>
      <c r="F895" s="1221"/>
      <c r="G895" s="784"/>
      <c r="I895" s="1140"/>
    </row>
    <row r="896" spans="1:9" ht="12.75" customHeight="1">
      <c r="A896" s="99"/>
      <c r="B896" s="99"/>
      <c r="C896" s="1151"/>
      <c r="D896" s="1221"/>
      <c r="E896" s="1221"/>
      <c r="F896" s="1221"/>
      <c r="G896" s="784"/>
      <c r="I896" s="1140"/>
    </row>
    <row r="897" spans="1:9" ht="12.75" customHeight="1">
      <c r="A897" s="99"/>
      <c r="B897" s="99"/>
      <c r="C897" s="1151"/>
      <c r="D897" s="1221"/>
      <c r="E897" s="1221"/>
      <c r="F897" s="1221"/>
      <c r="G897" s="784"/>
      <c r="I897" s="1140"/>
    </row>
    <row r="898" spans="1:9" ht="12.75" customHeight="1">
      <c r="A898" s="68"/>
      <c r="B898" s="68"/>
      <c r="C898" s="785"/>
      <c r="D898" s="784"/>
      <c r="E898" s="784"/>
      <c r="F898" s="784"/>
      <c r="G898" s="784"/>
      <c r="I898" s="1140"/>
    </row>
    <row r="899" spans="1:9" ht="12.75" customHeight="1">
      <c r="A899" s="1270" t="s">
        <v>565</v>
      </c>
      <c r="B899" s="1270"/>
      <c r="C899" s="1270"/>
      <c r="D899" s="1270"/>
      <c r="E899" s="1270"/>
      <c r="F899" s="1270"/>
      <c r="G899" s="1270"/>
      <c r="H899" s="815"/>
      <c r="I899" s="936"/>
    </row>
    <row r="900" spans="1:9" ht="12.75" customHeight="1">
      <c r="A900" s="38"/>
      <c r="B900" s="38"/>
      <c r="C900" s="38"/>
      <c r="D900" s="38"/>
      <c r="E900" s="38"/>
      <c r="F900" s="38"/>
      <c r="G900" s="38"/>
      <c r="I900" s="1140"/>
    </row>
    <row r="901" spans="1:9" ht="12.75" customHeight="1">
      <c r="A901" s="38"/>
      <c r="B901" s="38"/>
      <c r="C901" s="38"/>
      <c r="D901" s="1286" t="s">
        <v>566</v>
      </c>
      <c r="E901" s="1286"/>
      <c r="F901" s="1286"/>
      <c r="G901" s="38"/>
      <c r="I901" s="1140"/>
    </row>
    <row r="902" spans="1:9" ht="12.75" customHeight="1">
      <c r="A902" s="38"/>
      <c r="B902" s="38"/>
      <c r="C902" s="38"/>
      <c r="D902" s="1122"/>
      <c r="E902" s="1122"/>
      <c r="F902" s="1122"/>
      <c r="G902" s="38"/>
      <c r="I902" s="1140"/>
    </row>
    <row r="903" spans="1:9" ht="12.75" customHeight="1">
      <c r="A903" s="38"/>
      <c r="B903" s="338" t="s">
        <v>309</v>
      </c>
      <c r="C903" s="38"/>
      <c r="D903" s="1123" t="s">
        <v>567</v>
      </c>
      <c r="E903" s="1122"/>
      <c r="F903" s="1122"/>
      <c r="G903" s="38"/>
      <c r="I903" s="1140"/>
    </row>
    <row r="904" spans="1:9" ht="12.75" customHeight="1">
      <c r="A904" s="38"/>
      <c r="B904" s="38"/>
      <c r="C904" s="38"/>
      <c r="D904" s="1122"/>
      <c r="E904" s="1122"/>
      <c r="F904" s="1122"/>
      <c r="G904" s="38"/>
      <c r="I904" s="1140"/>
    </row>
    <row r="905" spans="1:9" ht="12.75" customHeight="1">
      <c r="A905" s="1151"/>
      <c r="B905" s="1151"/>
      <c r="C905" s="785"/>
      <c r="D905" s="1286" t="s">
        <v>568</v>
      </c>
      <c r="E905" s="1286"/>
      <c r="F905" s="1286"/>
      <c r="G905" s="784"/>
      <c r="I905" s="1140"/>
    </row>
    <row r="906" spans="1:9" ht="12.75" customHeight="1">
      <c r="A906" s="97"/>
      <c r="B906" s="97"/>
      <c r="C906" s="97"/>
      <c r="D906" s="1261" t="s">
        <v>569</v>
      </c>
      <c r="E906" s="1261"/>
      <c r="F906" s="1261"/>
      <c r="G906" s="784"/>
      <c r="I906" s="1140"/>
    </row>
    <row r="907" spans="1:9" ht="12.75" customHeight="1">
      <c r="A907" s="785"/>
      <c r="B907" s="785"/>
      <c r="C907" s="785"/>
      <c r="D907" s="1"/>
      <c r="E907" s="784"/>
      <c r="F907" s="784"/>
      <c r="G907" s="784"/>
      <c r="I907" s="1140"/>
    </row>
    <row r="908" spans="1:9" ht="12.75" customHeight="1">
      <c r="A908" s="99"/>
      <c r="B908" s="338" t="s">
        <v>309</v>
      </c>
      <c r="C908" s="1151"/>
      <c r="D908" s="1221" t="s">
        <v>570</v>
      </c>
      <c r="E908" s="1221"/>
      <c r="F908" s="1221"/>
      <c r="G908" s="2"/>
      <c r="I908" s="1140"/>
    </row>
    <row r="909" spans="1:9" ht="12.75" customHeight="1">
      <c r="A909" s="1151"/>
      <c r="B909" s="1151"/>
      <c r="C909" s="1151"/>
      <c r="D909" s="1221"/>
      <c r="E909" s="1221"/>
      <c r="F909" s="1221"/>
      <c r="G909" s="2"/>
      <c r="I909" s="1140"/>
    </row>
    <row r="910" spans="1:9" ht="12.75" customHeight="1">
      <c r="A910" s="97"/>
      <c r="B910" s="97"/>
      <c r="C910" s="97"/>
      <c r="D910" s="1221" t="s">
        <v>571</v>
      </c>
      <c r="E910" s="1221"/>
      <c r="F910" s="1221"/>
      <c r="G910" s="784"/>
      <c r="I910" s="1140"/>
    </row>
    <row r="911" spans="1:9" ht="12.75" customHeight="1">
      <c r="A911" s="97"/>
      <c r="B911" s="97"/>
      <c r="C911" s="97"/>
      <c r="D911" s="1221"/>
      <c r="E911" s="1221"/>
      <c r="F911" s="1221"/>
      <c r="G911" s="784"/>
      <c r="I911" s="1140"/>
    </row>
    <row r="912" spans="1:9" ht="12.75" customHeight="1">
      <c r="A912" s="97"/>
      <c r="B912" s="97"/>
      <c r="C912" s="97"/>
      <c r="D912" s="2"/>
      <c r="E912" s="2"/>
      <c r="F912" s="784"/>
      <c r="G912" s="784"/>
      <c r="I912" s="1140"/>
    </row>
    <row r="913" spans="1:9" ht="12.75" customHeight="1">
      <c r="A913" s="99"/>
      <c r="B913" s="338" t="s">
        <v>309</v>
      </c>
      <c r="C913" s="98"/>
      <c r="D913" s="1225" t="s">
        <v>572</v>
      </c>
      <c r="E913" s="1225"/>
      <c r="F913" s="1225"/>
      <c r="G913" s="784"/>
      <c r="I913" s="1140"/>
    </row>
    <row r="914" spans="1:9" ht="12.75" customHeight="1">
      <c r="A914" s="99"/>
      <c r="B914" s="99"/>
      <c r="C914" s="98"/>
      <c r="D914" s="1225"/>
      <c r="E914" s="1225"/>
      <c r="F914" s="1225"/>
      <c r="G914" s="784"/>
      <c r="I914" s="1140"/>
    </row>
    <row r="915" spans="1:9" ht="12.75" customHeight="1">
      <c r="A915" s="99"/>
      <c r="B915" s="99"/>
      <c r="C915" s="98"/>
      <c r="D915" s="1225"/>
      <c r="E915" s="1225"/>
      <c r="F915" s="1225"/>
      <c r="G915" s="784"/>
      <c r="I915" s="1140"/>
    </row>
    <row r="916" spans="1:9" ht="12.75" customHeight="1">
      <c r="A916" s="99"/>
      <c r="B916" s="99"/>
      <c r="C916" s="98"/>
      <c r="D916" s="1225"/>
      <c r="E916" s="1225"/>
      <c r="F916" s="1225"/>
      <c r="G916" s="784"/>
      <c r="I916" s="1140"/>
    </row>
    <row r="917" spans="1:9" ht="12.75" customHeight="1">
      <c r="A917" s="99"/>
      <c r="B917" s="99"/>
      <c r="C917" s="98"/>
      <c r="D917" s="1225"/>
      <c r="E917" s="1225"/>
      <c r="F917" s="1225"/>
      <c r="G917" s="784"/>
      <c r="I917" s="1140"/>
    </row>
    <row r="918" spans="1:9" ht="12.75" customHeight="1">
      <c r="A918" s="98"/>
      <c r="B918" s="98"/>
      <c r="C918" s="98"/>
      <c r="D918" s="1225"/>
      <c r="E918" s="1225"/>
      <c r="F918" s="1225"/>
      <c r="G918" s="784"/>
      <c r="I918" s="1140"/>
    </row>
    <row r="919" spans="1:9" ht="12.75" customHeight="1">
      <c r="A919" s="98"/>
      <c r="B919" s="98"/>
      <c r="C919" s="98"/>
      <c r="D919" s="1225"/>
      <c r="E919" s="1225"/>
      <c r="F919" s="1225"/>
      <c r="G919" s="784"/>
      <c r="I919" s="1140"/>
    </row>
    <row r="920" spans="1:9" ht="12.75" customHeight="1">
      <c r="A920" s="98"/>
      <c r="B920" s="98"/>
      <c r="C920" s="98"/>
      <c r="D920" s="1225"/>
      <c r="E920" s="1225"/>
      <c r="F920" s="1225"/>
      <c r="G920" s="784"/>
      <c r="I920" s="1140"/>
    </row>
    <row r="921" spans="1:9" ht="12.75" customHeight="1">
      <c r="A921" s="98"/>
      <c r="B921" s="98"/>
      <c r="C921" s="98"/>
      <c r="D921" s="1118"/>
      <c r="E921" s="1118"/>
      <c r="F921" s="1118"/>
      <c r="G921" s="784"/>
      <c r="I921" s="1140"/>
    </row>
    <row r="922" spans="1:9" ht="12.75" customHeight="1">
      <c r="A922" s="785"/>
      <c r="B922" s="338" t="s">
        <v>309</v>
      </c>
      <c r="C922" s="785"/>
      <c r="D922" s="1221" t="s">
        <v>573</v>
      </c>
      <c r="E922" s="1221"/>
      <c r="F922" s="1221"/>
      <c r="G922" s="784"/>
      <c r="I922" s="1140"/>
    </row>
    <row r="923" spans="1:9" ht="12.75" customHeight="1">
      <c r="A923" s="785"/>
      <c r="B923" s="785"/>
      <c r="C923" s="785"/>
      <c r="D923" s="1221"/>
      <c r="E923" s="1221"/>
      <c r="F923" s="1221"/>
      <c r="G923" s="784"/>
      <c r="I923" s="1140"/>
    </row>
    <row r="924" spans="1:9" ht="12.75" customHeight="1">
      <c r="A924" s="785"/>
      <c r="B924" s="785"/>
      <c r="C924" s="785"/>
      <c r="D924" s="784"/>
      <c r="E924" s="784"/>
      <c r="F924" s="784"/>
      <c r="G924" s="784"/>
      <c r="I924" s="1140"/>
    </row>
    <row r="925" spans="1:9" ht="12.75" customHeight="1">
      <c r="A925" s="785"/>
      <c r="B925" s="338" t="s">
        <v>314</v>
      </c>
      <c r="C925" s="785"/>
      <c r="D925" s="1249" t="s">
        <v>574</v>
      </c>
      <c r="E925" s="1249"/>
      <c r="F925" s="1249"/>
      <c r="G925" s="784"/>
      <c r="I925" s="1140"/>
    </row>
    <row r="926" spans="1:9" ht="12.75" customHeight="1">
      <c r="A926" s="785"/>
      <c r="B926" s="785"/>
      <c r="C926" s="785"/>
      <c r="D926" s="1249"/>
      <c r="E926" s="1249"/>
      <c r="F926" s="1249"/>
      <c r="G926" s="784"/>
      <c r="I926" s="1140"/>
    </row>
    <row r="927" spans="1:9" ht="12.75" customHeight="1">
      <c r="A927" s="785"/>
      <c r="B927" s="785"/>
      <c r="C927" s="785"/>
      <c r="D927" s="1249"/>
      <c r="E927" s="1249"/>
      <c r="F927" s="1249"/>
      <c r="G927" s="784"/>
      <c r="I927" s="1140"/>
    </row>
    <row r="928" spans="1:9" ht="12.75" customHeight="1">
      <c r="A928" s="785"/>
      <c r="B928" s="785"/>
      <c r="C928" s="785"/>
      <c r="D928" s="1249"/>
      <c r="E928" s="1249"/>
      <c r="F928" s="1249"/>
      <c r="G928" s="784"/>
      <c r="I928" s="1140"/>
    </row>
    <row r="929" spans="1:9" ht="12.75" customHeight="1">
      <c r="A929" s="785"/>
      <c r="B929" s="785"/>
      <c r="C929" s="785"/>
      <c r="D929" s="68"/>
      <c r="E929" s="784"/>
      <c r="F929" s="784"/>
      <c r="G929" s="784"/>
      <c r="I929" s="1140"/>
    </row>
    <row r="930" spans="1:9" ht="12.75" customHeight="1">
      <c r="A930" s="785"/>
      <c r="B930" s="338" t="s">
        <v>314</v>
      </c>
      <c r="C930" s="785"/>
      <c r="D930" s="1261" t="s">
        <v>575</v>
      </c>
      <c r="E930" s="1261"/>
      <c r="F930" s="1261"/>
      <c r="G930" s="784"/>
      <c r="I930" s="1140"/>
    </row>
    <row r="931" spans="1:9" ht="12.75" customHeight="1">
      <c r="A931" s="785"/>
      <c r="B931" s="785"/>
      <c r="C931" s="785"/>
      <c r="D931" s="68"/>
      <c r="E931" s="784"/>
      <c r="F931" s="784"/>
      <c r="G931" s="784"/>
      <c r="I931" s="1140"/>
    </row>
    <row r="932" spans="1:9" ht="12.75" customHeight="1">
      <c r="A932" s="785"/>
      <c r="B932" s="338" t="s">
        <v>314</v>
      </c>
      <c r="C932" s="785"/>
      <c r="D932" s="1261" t="s">
        <v>576</v>
      </c>
      <c r="E932" s="1261"/>
      <c r="F932" s="1261"/>
      <c r="G932" s="784"/>
      <c r="I932" s="1140"/>
    </row>
    <row r="933" spans="1:9" ht="12.75" customHeight="1">
      <c r="A933" s="98"/>
      <c r="B933" s="98"/>
      <c r="C933" s="98"/>
      <c r="D933" s="1"/>
      <c r="E933" s="2"/>
      <c r="F933" s="784"/>
      <c r="G933" s="784"/>
      <c r="I933" s="1140"/>
    </row>
    <row r="934" spans="1:9" ht="12.75" customHeight="1">
      <c r="A934" s="791"/>
      <c r="B934" s="338" t="s">
        <v>309</v>
      </c>
      <c r="C934" s="792"/>
      <c r="D934" s="1225" t="s">
        <v>577</v>
      </c>
      <c r="E934" s="1225"/>
      <c r="F934" s="1225"/>
      <c r="G934" s="793"/>
      <c r="I934" s="1140"/>
    </row>
    <row r="935" spans="1:9" ht="12.75" customHeight="1">
      <c r="A935" s="791"/>
      <c r="B935" s="791"/>
      <c r="C935" s="792"/>
      <c r="D935" s="1225"/>
      <c r="E935" s="1225"/>
      <c r="F935" s="1225"/>
      <c r="G935" s="793"/>
      <c r="I935" s="1140"/>
    </row>
    <row r="936" spans="1:9" ht="12.75" customHeight="1">
      <c r="A936" s="791"/>
      <c r="B936" s="791"/>
      <c r="C936" s="792"/>
      <c r="D936" s="1225"/>
      <c r="E936" s="1225"/>
      <c r="F936" s="1225"/>
      <c r="G936" s="793"/>
      <c r="I936" s="1140"/>
    </row>
    <row r="937" spans="1:9" ht="12.75" customHeight="1">
      <c r="A937" s="791"/>
      <c r="B937" s="791"/>
      <c r="C937" s="792"/>
      <c r="D937" s="1225"/>
      <c r="E937" s="1225"/>
      <c r="F937" s="1225"/>
      <c r="G937" s="793"/>
      <c r="I937" s="1140"/>
    </row>
    <row r="938" spans="1:9" ht="12.75" customHeight="1">
      <c r="A938" s="791"/>
      <c r="B938" s="791"/>
      <c r="C938" s="792"/>
      <c r="D938" s="1225"/>
      <c r="E938" s="1225"/>
      <c r="F938" s="1225"/>
      <c r="G938" s="793"/>
      <c r="I938" s="1140"/>
    </row>
    <row r="939" spans="1:9" ht="12.75" customHeight="1">
      <c r="A939" s="791"/>
      <c r="B939" s="791"/>
      <c r="C939" s="792"/>
      <c r="D939" s="1225"/>
      <c r="E939" s="1225"/>
      <c r="F939" s="1225"/>
      <c r="G939" s="793"/>
      <c r="I939" s="1140"/>
    </row>
    <row r="940" spans="1:9" ht="12.75" customHeight="1">
      <c r="A940" s="791"/>
      <c r="B940" s="791"/>
      <c r="C940" s="792"/>
      <c r="D940" s="1225"/>
      <c r="E940" s="1225"/>
      <c r="F940" s="1225"/>
      <c r="G940" s="793"/>
      <c r="I940" s="1140"/>
    </row>
    <row r="941" spans="1:9" ht="12.75" customHeight="1">
      <c r="A941" s="791"/>
      <c r="B941" s="791"/>
      <c r="C941" s="792"/>
      <c r="D941" s="1225"/>
      <c r="E941" s="1225"/>
      <c r="F941" s="1225"/>
      <c r="G941" s="793"/>
      <c r="I941" s="1140"/>
    </row>
    <row r="942" spans="1:9" ht="12.75" customHeight="1">
      <c r="A942" s="791"/>
      <c r="B942" s="791"/>
      <c r="C942" s="792"/>
      <c r="D942" s="1225"/>
      <c r="E942" s="1225"/>
      <c r="F942" s="1225"/>
      <c r="G942" s="793"/>
      <c r="I942" s="1140"/>
    </row>
    <row r="943" spans="1:9" ht="12.75" customHeight="1">
      <c r="A943" s="98"/>
      <c r="B943" s="98"/>
      <c r="C943" s="98"/>
      <c r="D943" s="1"/>
      <c r="E943" s="2"/>
      <c r="F943" s="784"/>
      <c r="G943" s="784"/>
      <c r="I943" s="1140"/>
    </row>
    <row r="944" spans="1:9" ht="12.75" customHeight="1">
      <c r="A944" s="99"/>
      <c r="B944" s="338" t="s">
        <v>309</v>
      </c>
      <c r="C944" s="98"/>
      <c r="D944" s="1280" t="s">
        <v>578</v>
      </c>
      <c r="E944" s="1280"/>
      <c r="F944" s="1280"/>
      <c r="G944" s="784"/>
      <c r="I944" s="1140"/>
    </row>
    <row r="945" spans="1:9" ht="12.75" customHeight="1">
      <c r="A945" s="99"/>
      <c r="B945" s="99"/>
      <c r="C945" s="98"/>
      <c r="D945" s="1280"/>
      <c r="E945" s="1280"/>
      <c r="F945" s="1280"/>
      <c r="G945" s="784"/>
      <c r="I945" s="1140"/>
    </row>
    <row r="946" spans="1:9" ht="12.75" customHeight="1">
      <c r="A946" s="99"/>
      <c r="B946" s="99"/>
      <c r="C946" s="98"/>
      <c r="D946" s="1280"/>
      <c r="E946" s="1280"/>
      <c r="F946" s="1280"/>
      <c r="G946" s="784"/>
      <c r="I946" s="1140"/>
    </row>
    <row r="947" spans="1:9" ht="12.75" customHeight="1">
      <c r="A947" s="99"/>
      <c r="B947" s="99"/>
      <c r="C947" s="98"/>
      <c r="D947" s="1280"/>
      <c r="E947" s="1280"/>
      <c r="F947" s="1280"/>
      <c r="G947" s="784"/>
      <c r="I947" s="1140"/>
    </row>
    <row r="948" spans="1:9" ht="12.75" customHeight="1">
      <c r="A948" s="99"/>
      <c r="B948" s="99"/>
      <c r="C948" s="98"/>
      <c r="D948" s="1280"/>
      <c r="E948" s="1280"/>
      <c r="F948" s="1280"/>
      <c r="G948" s="784"/>
      <c r="I948" s="1140"/>
    </row>
    <row r="949" spans="1:9" ht="12.75" customHeight="1">
      <c r="A949" s="99"/>
      <c r="B949" s="99"/>
      <c r="C949" s="98"/>
      <c r="D949" s="1280"/>
      <c r="E949" s="1280"/>
      <c r="F949" s="1280"/>
      <c r="G949" s="784"/>
      <c r="I949" s="1140"/>
    </row>
    <row r="950" spans="1:9" ht="12.75" customHeight="1">
      <c r="A950" s="99"/>
      <c r="B950" s="99"/>
      <c r="C950" s="98"/>
      <c r="D950" s="1280"/>
      <c r="E950" s="1280"/>
      <c r="F950" s="1280"/>
      <c r="G950" s="784"/>
      <c r="I950" s="1140"/>
    </row>
    <row r="951" spans="1:9" ht="12.75" customHeight="1">
      <c r="A951" s="99"/>
      <c r="B951" s="99"/>
      <c r="C951" s="98"/>
      <c r="D951" s="1130"/>
      <c r="E951" s="1130"/>
      <c r="F951" s="1130"/>
      <c r="G951" s="784"/>
      <c r="I951" s="1140"/>
    </row>
    <row r="952" spans="1:9" ht="12.75" customHeight="1">
      <c r="A952" s="99"/>
      <c r="B952" s="338" t="s">
        <v>309</v>
      </c>
      <c r="C952" s="98"/>
      <c r="D952" s="1224" t="s">
        <v>579</v>
      </c>
      <c r="E952" s="1224"/>
      <c r="F952" s="1224"/>
      <c r="G952" s="784"/>
      <c r="I952" s="1140"/>
    </row>
    <row r="953" spans="1:9" ht="12.75" customHeight="1">
      <c r="A953" s="99"/>
      <c r="B953" s="99"/>
      <c r="C953" s="98"/>
      <c r="D953" s="1224"/>
      <c r="E953" s="1224"/>
      <c r="F953" s="1224"/>
      <c r="G953" s="784"/>
      <c r="I953" s="1140"/>
    </row>
    <row r="954" spans="1:9" ht="12.75" customHeight="1">
      <c r="A954" s="99"/>
      <c r="B954" s="99"/>
      <c r="C954" s="98"/>
      <c r="D954" s="1224"/>
      <c r="E954" s="1224"/>
      <c r="F954" s="1224"/>
      <c r="G954" s="784"/>
      <c r="I954" s="1140"/>
    </row>
    <row r="955" spans="1:9" ht="12.75" customHeight="1">
      <c r="A955" s="99"/>
      <c r="B955" s="99"/>
      <c r="C955" s="98"/>
      <c r="D955" s="1224"/>
      <c r="E955" s="1224"/>
      <c r="F955" s="1224"/>
      <c r="G955" s="784"/>
      <c r="I955" s="1140"/>
    </row>
    <row r="956" spans="1:9" ht="12.75" customHeight="1">
      <c r="A956" s="99"/>
      <c r="B956" s="99"/>
      <c r="C956" s="98"/>
      <c r="D956" s="1224"/>
      <c r="E956" s="1224"/>
      <c r="F956" s="1224"/>
      <c r="G956" s="784"/>
      <c r="I956" s="1140"/>
    </row>
    <row r="957" spans="1:9" ht="12.75" customHeight="1">
      <c r="A957" s="99"/>
      <c r="B957" s="99"/>
      <c r="C957" s="98"/>
      <c r="D957" s="1224"/>
      <c r="E957" s="1224"/>
      <c r="F957" s="1224"/>
      <c r="G957" s="784"/>
      <c r="I957" s="1140"/>
    </row>
    <row r="958" spans="1:9" ht="12.75" customHeight="1">
      <c r="A958" s="99"/>
      <c r="B958" s="99"/>
      <c r="C958" s="98"/>
      <c r="D958" s="1130"/>
      <c r="E958" s="1130"/>
      <c r="F958" s="1130"/>
      <c r="G958" s="784"/>
      <c r="I958" s="1140"/>
    </row>
    <row r="959" spans="1:9" ht="12.75" customHeight="1">
      <c r="A959" s="785"/>
      <c r="B959" s="338" t="s">
        <v>314</v>
      </c>
      <c r="C959" s="785"/>
      <c r="D959" s="1249" t="s">
        <v>580</v>
      </c>
      <c r="E959" s="1249"/>
      <c r="F959" s="1249"/>
      <c r="G959" s="784"/>
      <c r="I959" s="1140"/>
    </row>
    <row r="960" spans="1:9" ht="12.75" customHeight="1">
      <c r="A960" s="785"/>
      <c r="B960" s="785"/>
      <c r="C960" s="785"/>
      <c r="D960" s="1249"/>
      <c r="E960" s="1249"/>
      <c r="F960" s="1249"/>
      <c r="G960" s="784"/>
      <c r="I960" s="1140"/>
    </row>
    <row r="961" spans="1:9" ht="12.75" customHeight="1">
      <c r="A961" s="785"/>
      <c r="B961" s="785"/>
      <c r="C961" s="785"/>
      <c r="D961" s="1249"/>
      <c r="E961" s="1249"/>
      <c r="F961" s="1249"/>
      <c r="G961" s="784"/>
      <c r="I961" s="1140"/>
    </row>
    <row r="962" spans="1:9" ht="12.75" customHeight="1">
      <c r="A962" s="99"/>
      <c r="B962" s="99"/>
      <c r="C962" s="98"/>
      <c r="D962" s="1130"/>
      <c r="E962" s="1130"/>
      <c r="F962" s="1130"/>
      <c r="G962" s="784"/>
      <c r="I962" s="1140"/>
    </row>
    <row r="963" spans="1:9" ht="12.75" customHeight="1">
      <c r="A963" s="99"/>
      <c r="B963" s="99"/>
      <c r="C963" s="98"/>
      <c r="D963" s="668"/>
      <c r="E963" s="2"/>
      <c r="F963" s="784"/>
      <c r="G963" s="784"/>
      <c r="I963" s="1140"/>
    </row>
    <row r="964" spans="1:9" ht="12.75" customHeight="1">
      <c r="A964" s="99"/>
      <c r="B964" s="338" t="s">
        <v>314</v>
      </c>
      <c r="C964" s="98"/>
      <c r="D964" s="1225" t="s">
        <v>581</v>
      </c>
      <c r="E964" s="1225"/>
      <c r="F964" s="1225"/>
      <c r="G964" s="784"/>
      <c r="I964" s="1140"/>
    </row>
    <row r="965" spans="1:9" ht="12.75" customHeight="1">
      <c r="A965" s="99"/>
      <c r="B965" s="99"/>
      <c r="C965" s="98"/>
      <c r="D965" s="1225"/>
      <c r="E965" s="1225"/>
      <c r="F965" s="1225"/>
      <c r="G965" s="784"/>
      <c r="I965" s="1140"/>
    </row>
    <row r="966" spans="1:9" ht="12.75" customHeight="1">
      <c r="A966" s="99"/>
      <c r="B966" s="99"/>
      <c r="C966" s="98"/>
      <c r="D966" s="1225"/>
      <c r="E966" s="1225"/>
      <c r="F966" s="1225"/>
      <c r="G966" s="784"/>
      <c r="I966" s="1140"/>
    </row>
    <row r="967" spans="1:9" ht="12.75" customHeight="1">
      <c r="A967" s="99"/>
      <c r="B967" s="99"/>
      <c r="C967" s="98"/>
      <c r="D967" s="1225"/>
      <c r="E967" s="1225"/>
      <c r="F967" s="1225"/>
      <c r="G967" s="784"/>
      <c r="I967" s="1140"/>
    </row>
    <row r="968" spans="1:9" ht="12.75" customHeight="1">
      <c r="A968" s="785"/>
      <c r="B968" s="785"/>
      <c r="C968" s="785"/>
      <c r="D968" s="1115"/>
      <c r="E968" s="1115"/>
      <c r="F968" s="1115"/>
      <c r="G968" s="1115"/>
      <c r="I968" s="1140"/>
    </row>
    <row r="969" spans="1:9" ht="12.75" customHeight="1">
      <c r="A969" s="1151"/>
      <c r="B969" s="1151"/>
      <c r="C969" s="1151"/>
      <c r="D969" s="1283" t="s">
        <v>582</v>
      </c>
      <c r="E969" s="1283"/>
      <c r="F969" s="1283"/>
      <c r="G969" s="2"/>
      <c r="I969" s="1140"/>
    </row>
    <row r="970" spans="1:9" ht="12.75" customHeight="1">
      <c r="A970" s="99"/>
      <c r="B970" s="338" t="s">
        <v>314</v>
      </c>
      <c r="C970" s="1151"/>
      <c r="D970" s="1261" t="s">
        <v>583</v>
      </c>
      <c r="E970" s="1261"/>
      <c r="F970" s="1261"/>
      <c r="G970" s="2"/>
      <c r="I970" s="1140"/>
    </row>
    <row r="971" spans="1:9" ht="12.75" customHeight="1">
      <c r="A971" s="1151"/>
      <c r="B971" s="1151"/>
      <c r="C971" s="1151"/>
      <c r="D971" s="2"/>
      <c r="E971" s="2"/>
      <c r="F971" s="2"/>
      <c r="G971" s="2"/>
      <c r="I971" s="1140"/>
    </row>
    <row r="972" spans="1:9" ht="12.75" customHeight="1">
      <c r="A972" s="1151"/>
      <c r="B972" s="1151"/>
      <c r="C972" s="1151"/>
      <c r="D972" s="1283" t="s">
        <v>584</v>
      </c>
      <c r="E972" s="1283"/>
      <c r="F972" s="1283"/>
      <c r="G972"/>
      <c r="I972" s="1140"/>
    </row>
    <row r="973" spans="1:9" ht="12.75" customHeight="1">
      <c r="A973" s="99"/>
      <c r="B973" s="338" t="s">
        <v>314</v>
      </c>
      <c r="C973" s="1151"/>
      <c r="D973" s="1221" t="s">
        <v>585</v>
      </c>
      <c r="E973" s="1221"/>
      <c r="F973" s="1221"/>
      <c r="G973"/>
      <c r="I973" s="1140"/>
    </row>
    <row r="974" spans="1:9" ht="12.75" customHeight="1">
      <c r="A974" s="99"/>
      <c r="B974" s="99"/>
      <c r="C974" s="1151"/>
      <c r="D974" s="1221"/>
      <c r="E974" s="1221"/>
      <c r="F974" s="1221"/>
      <c r="G974"/>
      <c r="I974" s="1140"/>
    </row>
    <row r="975" spans="1:9" ht="12.75" customHeight="1">
      <c r="A975" s="99"/>
      <c r="B975" s="99"/>
      <c r="C975" s="1151"/>
      <c r="D975" s="1221"/>
      <c r="E975" s="1221"/>
      <c r="F975" s="1221"/>
      <c r="G975"/>
      <c r="I975" s="1140"/>
    </row>
    <row r="976" spans="1:9" ht="12.75" customHeight="1">
      <c r="A976" s="99"/>
      <c r="B976" s="99"/>
      <c r="C976" s="1151"/>
      <c r="D976" s="1221"/>
      <c r="E976" s="1221"/>
      <c r="F976" s="1221"/>
      <c r="G976"/>
      <c r="I976" s="1140"/>
    </row>
    <row r="977" spans="1:9" ht="12.75" customHeight="1">
      <c r="A977" s="99"/>
      <c r="B977" s="99"/>
      <c r="C977" s="1151"/>
      <c r="D977" s="1221"/>
      <c r="E977" s="1221"/>
      <c r="F977" s="1221"/>
      <c r="G977"/>
      <c r="I977" s="1140"/>
    </row>
    <row r="978" spans="1:9" ht="12.75" customHeight="1">
      <c r="A978" s="99"/>
      <c r="B978" s="99"/>
      <c r="C978" s="1151"/>
      <c r="D978" s="1221"/>
      <c r="E978" s="1221"/>
      <c r="F978" s="1221"/>
      <c r="G978"/>
      <c r="I978" s="1140"/>
    </row>
    <row r="979" spans="1:9" ht="12.75" customHeight="1">
      <c r="A979" s="99"/>
      <c r="B979" s="99"/>
      <c r="C979" s="1151"/>
      <c r="D979" s="1221"/>
      <c r="E979" s="1221"/>
      <c r="F979" s="1221"/>
      <c r="G979"/>
      <c r="I979" s="1140"/>
    </row>
    <row r="980" spans="1:9" ht="12.75" customHeight="1">
      <c r="A980" s="99"/>
      <c r="B980" s="99"/>
      <c r="C980" s="1151"/>
      <c r="D980" s="1221"/>
      <c r="E980" s="1221"/>
      <c r="F980" s="1221"/>
      <c r="G980"/>
      <c r="I980" s="1140"/>
    </row>
    <row r="981" spans="1:9" ht="12.75" customHeight="1">
      <c r="A981" s="99"/>
      <c r="B981" s="99"/>
      <c r="C981" s="1151"/>
      <c r="D981" s="1221"/>
      <c r="E981" s="1221"/>
      <c r="F981" s="1221"/>
      <c r="G981"/>
      <c r="I981" s="1140"/>
    </row>
    <row r="982" spans="1:9" ht="12.75" customHeight="1">
      <c r="A982" s="99"/>
      <c r="B982" s="99"/>
      <c r="C982" s="1151"/>
      <c r="D982" s="1221"/>
      <c r="E982" s="1221"/>
      <c r="F982" s="1221"/>
      <c r="G982"/>
      <c r="I982" s="1140"/>
    </row>
    <row r="983" spans="1:9" ht="12.75" customHeight="1">
      <c r="A983" s="99"/>
      <c r="B983" s="99"/>
      <c r="C983" s="1151"/>
      <c r="D983" s="1221"/>
      <c r="E983" s="1221"/>
      <c r="F983" s="1221"/>
      <c r="G983"/>
      <c r="I983" s="1140"/>
    </row>
    <row r="984" spans="1:9" ht="12.75" customHeight="1">
      <c r="A984" s="99"/>
      <c r="B984" s="99"/>
      <c r="C984" s="1151"/>
      <c r="D984" s="1221"/>
      <c r="E984" s="1221"/>
      <c r="F984" s="1221"/>
      <c r="G984"/>
      <c r="I984" s="1140"/>
    </row>
    <row r="985" spans="1:9" ht="12.75" customHeight="1">
      <c r="A985" s="99"/>
      <c r="B985" s="99"/>
      <c r="C985" s="1151"/>
      <c r="D985" s="1221"/>
      <c r="E985" s="1221"/>
      <c r="F985" s="1221"/>
      <c r="G985"/>
      <c r="I985" s="1140"/>
    </row>
    <row r="986" spans="1:9" ht="12.75" customHeight="1">
      <c r="A986" s="99"/>
      <c r="B986" s="99"/>
      <c r="C986" s="1151"/>
      <c r="D986" s="1221"/>
      <c r="E986" s="1221"/>
      <c r="F986" s="1221"/>
      <c r="G986"/>
      <c r="I986" s="1140"/>
    </row>
    <row r="987" spans="1:9" ht="12.75" customHeight="1">
      <c r="A987" s="99"/>
      <c r="B987" s="99"/>
      <c r="C987" s="1151"/>
      <c r="D987" s="1221"/>
      <c r="E987" s="1221"/>
      <c r="F987" s="1221"/>
      <c r="G987" s="2"/>
      <c r="I987" s="1140"/>
    </row>
    <row r="988" spans="1:9" ht="12.75" customHeight="1">
      <c r="A988" s="1151"/>
      <c r="B988" s="1151"/>
      <c r="C988" s="1151"/>
      <c r="D988" s="2"/>
      <c r="E988" s="2"/>
      <c r="F988" s="2"/>
      <c r="G988" s="2"/>
      <c r="I988" s="1140"/>
    </row>
    <row r="989" spans="1:9" ht="12.75" customHeight="1">
      <c r="A989" s="1270" t="s">
        <v>586</v>
      </c>
      <c r="B989" s="1270"/>
      <c r="C989" s="1270"/>
      <c r="D989" s="1270"/>
      <c r="E989" s="1270"/>
      <c r="F989" s="1270"/>
      <c r="G989" s="1270"/>
      <c r="H989" s="815"/>
      <c r="I989" s="936"/>
    </row>
    <row r="990" spans="1:9" ht="12.75" customHeight="1">
      <c r="A990" s="68"/>
      <c r="B990" s="68"/>
      <c r="C990" s="1151"/>
      <c r="D990" s="2"/>
      <c r="E990" s="2"/>
      <c r="F990" s="2"/>
      <c r="G990" s="2"/>
      <c r="I990" s="1140"/>
    </row>
    <row r="991" spans="1:9" ht="12.75" customHeight="1">
      <c r="A991" s="1151"/>
      <c r="B991" s="1151"/>
      <c r="C991" s="785"/>
      <c r="D991" s="1283" t="s">
        <v>587</v>
      </c>
      <c r="E991" s="1283"/>
      <c r="F991" s="1283"/>
      <c r="G991" s="2"/>
      <c r="I991" s="1140"/>
    </row>
    <row r="992" spans="1:9" ht="12.75" customHeight="1">
      <c r="A992" s="97"/>
      <c r="B992" s="97"/>
      <c r="C992" s="97"/>
      <c r="D992" s="1261" t="s">
        <v>588</v>
      </c>
      <c r="E992" s="1261"/>
      <c r="F992" s="1261"/>
      <c r="G992" s="2"/>
      <c r="I992" s="1140"/>
    </row>
    <row r="993" spans="1:9" ht="12.75" customHeight="1">
      <c r="A993" s="97"/>
      <c r="B993" s="97"/>
      <c r="C993" s="97"/>
      <c r="D993" s="2"/>
      <c r="E993" s="2"/>
      <c r="F993" s="784"/>
      <c r="G993"/>
      <c r="I993" s="1140"/>
    </row>
    <row r="994" spans="1:9" ht="12.75" customHeight="1">
      <c r="A994" s="1151"/>
      <c r="B994" s="338" t="s">
        <v>309</v>
      </c>
      <c r="C994" s="1151"/>
      <c r="D994" s="1285" t="s">
        <v>589</v>
      </c>
      <c r="E994" s="1285"/>
      <c r="F994" s="1285"/>
      <c r="G994"/>
      <c r="I994" s="1140"/>
    </row>
    <row r="995" spans="1:9" ht="12.75" customHeight="1">
      <c r="A995" s="1151"/>
      <c r="B995" s="1151"/>
      <c r="C995" s="1151"/>
      <c r="D995" s="1285"/>
      <c r="E995" s="1285"/>
      <c r="F995" s="1285"/>
      <c r="G995"/>
      <c r="I995" s="1140"/>
    </row>
    <row r="996" spans="1:9" ht="12.75" customHeight="1">
      <c r="A996" s="1151"/>
      <c r="B996" s="1151"/>
      <c r="C996" s="1151"/>
      <c r="D996" s="1129"/>
      <c r="E996" s="823" t="s">
        <v>590</v>
      </c>
      <c r="F996" s="1129"/>
      <c r="G996"/>
      <c r="I996" s="1140"/>
    </row>
    <row r="997" spans="1:9" ht="12.75" customHeight="1">
      <c r="A997" s="1151"/>
      <c r="B997" s="1151"/>
      <c r="C997" s="1151"/>
      <c r="D997" s="1227" t="s">
        <v>591</v>
      </c>
      <c r="E997" s="1227"/>
      <c r="F997" s="1227"/>
      <c r="G997"/>
      <c r="I997" s="1140"/>
    </row>
    <row r="998" spans="1:9" ht="12.75" customHeight="1">
      <c r="A998" s="1151"/>
      <c r="B998" s="1151"/>
      <c r="C998" s="1151"/>
      <c r="D998" s="1227"/>
      <c r="E998" s="1227"/>
      <c r="F998" s="1227"/>
      <c r="G998"/>
      <c r="I998" s="1140"/>
    </row>
    <row r="999" spans="1:9" ht="12.75" customHeight="1">
      <c r="A999" s="98"/>
      <c r="B999" s="98"/>
      <c r="C999" s="98"/>
      <c r="D999" s="1227"/>
      <c r="E999" s="1227"/>
      <c r="F999" s="1227"/>
      <c r="G999"/>
      <c r="I999" s="1140"/>
    </row>
    <row r="1000" spans="1:9" ht="12.75" customHeight="1">
      <c r="A1000" s="98"/>
      <c r="B1000" s="98"/>
      <c r="C1000" s="98"/>
      <c r="D1000" s="1227"/>
      <c r="E1000" s="1227"/>
      <c r="F1000" s="1227"/>
      <c r="G1000"/>
      <c r="I1000" s="1140"/>
    </row>
    <row r="1001" spans="1:9" ht="12.75" customHeight="1">
      <c r="A1001" s="98"/>
      <c r="B1001" s="98"/>
      <c r="C1001" s="98"/>
      <c r="D1001" s="1118"/>
      <c r="E1001" s="1118"/>
      <c r="F1001" s="1118"/>
      <c r="G1001"/>
      <c r="I1001" s="1140"/>
    </row>
    <row r="1002" spans="1:9" ht="12.75" customHeight="1">
      <c r="A1002" s="98"/>
      <c r="B1002" s="338" t="s">
        <v>314</v>
      </c>
      <c r="C1002" s="98"/>
      <c r="D1002" s="1221" t="s">
        <v>592</v>
      </c>
      <c r="E1002" s="1221"/>
      <c r="F1002" s="1221"/>
      <c r="G1002"/>
      <c r="I1002" s="1140"/>
    </row>
    <row r="1003" spans="1:9" ht="12.75" customHeight="1">
      <c r="A1003" s="98"/>
      <c r="B1003" s="98"/>
      <c r="C1003" s="98"/>
      <c r="D1003" s="1221"/>
      <c r="E1003" s="1221"/>
      <c r="F1003" s="1221"/>
      <c r="G1003"/>
      <c r="I1003" s="1140"/>
    </row>
    <row r="1004" spans="1:9" ht="12.75" customHeight="1">
      <c r="A1004" s="98"/>
      <c r="B1004" s="98"/>
      <c r="C1004" s="98"/>
      <c r="D1004" s="1221"/>
      <c r="E1004" s="1221"/>
      <c r="F1004" s="1221"/>
      <c r="G1004"/>
      <c r="I1004" s="1140"/>
    </row>
    <row r="1005" spans="1:9" ht="12.75" customHeight="1">
      <c r="A1005" s="98"/>
      <c r="B1005" s="98"/>
      <c r="C1005" s="98"/>
      <c r="D1005" s="1221"/>
      <c r="E1005" s="1221"/>
      <c r="F1005" s="1221"/>
      <c r="G1005"/>
      <c r="I1005" s="1140"/>
    </row>
    <row r="1006" spans="1:9" ht="12.75" customHeight="1">
      <c r="A1006" s="98"/>
      <c r="B1006" s="98"/>
      <c r="C1006" s="98"/>
      <c r="D1006" s="1112"/>
      <c r="E1006" s="1112"/>
      <c r="F1006" s="1112"/>
      <c r="G1006"/>
      <c r="I1006" s="1140"/>
    </row>
    <row r="1007" spans="1:9" ht="12.75" customHeight="1">
      <c r="A1007" s="98"/>
      <c r="B1007" s="338" t="s">
        <v>314</v>
      </c>
      <c r="C1007" s="98"/>
      <c r="D1007" s="1221" t="s">
        <v>593</v>
      </c>
      <c r="E1007" s="1221"/>
      <c r="F1007" s="1221"/>
      <c r="G1007"/>
      <c r="I1007" s="1140"/>
    </row>
    <row r="1008" spans="1:9" ht="12.75" customHeight="1">
      <c r="A1008" s="98"/>
      <c r="B1008" s="98"/>
      <c r="C1008" s="98"/>
      <c r="D1008" s="1221"/>
      <c r="E1008" s="1221"/>
      <c r="F1008" s="1221"/>
      <c r="G1008"/>
      <c r="I1008" s="1140"/>
    </row>
    <row r="1009" spans="1:9" ht="12.75" customHeight="1">
      <c r="A1009" s="98"/>
      <c r="B1009" s="98"/>
      <c r="C1009" s="98"/>
      <c r="D1009" s="1112"/>
      <c r="E1009" s="1112"/>
      <c r="F1009" s="1112"/>
      <c r="G1009"/>
      <c r="I1009" s="1140"/>
    </row>
    <row r="1010" spans="1:9" ht="12.75" customHeight="1">
      <c r="A1010" s="99"/>
      <c r="B1010" s="338" t="s">
        <v>309</v>
      </c>
      <c r="C1010" s="1151"/>
      <c r="D1010" s="1261" t="s">
        <v>594</v>
      </c>
      <c r="E1010" s="1261"/>
      <c r="F1010" s="1261"/>
      <c r="G1010"/>
      <c r="I1010" s="1140"/>
    </row>
    <row r="1011" spans="1:9" ht="12.75" customHeight="1">
      <c r="A1011" s="1151"/>
      <c r="B1011" s="1151"/>
      <c r="C1011" s="1151"/>
      <c r="D1011" s="2"/>
      <c r="E1011" s="2"/>
      <c r="F1011" s="2"/>
      <c r="G1011"/>
      <c r="I1011" s="1140"/>
    </row>
    <row r="1012" spans="1:9" ht="12.75" customHeight="1">
      <c r="A1012" s="99"/>
      <c r="B1012" s="338" t="s">
        <v>314</v>
      </c>
      <c r="C1012" s="1151"/>
      <c r="D1012" s="1261" t="s">
        <v>595</v>
      </c>
      <c r="E1012" s="1261"/>
      <c r="F1012" s="1261"/>
      <c r="G1012"/>
      <c r="I1012" s="1140"/>
    </row>
    <row r="1013" spans="1:9" ht="12.75" customHeight="1">
      <c r="A1013" s="1151"/>
      <c r="B1013" s="1151"/>
      <c r="C1013" s="1151"/>
      <c r="D1013" s="68"/>
      <c r="E1013" s="2"/>
      <c r="F1013" s="2"/>
      <c r="G1013"/>
      <c r="I1013" s="1140"/>
    </row>
    <row r="1014" spans="1:9" ht="12.75" customHeight="1">
      <c r="A1014" s="99"/>
      <c r="B1014" s="338" t="s">
        <v>309</v>
      </c>
      <c r="C1014" s="1151"/>
      <c r="D1014" s="1261" t="s">
        <v>596</v>
      </c>
      <c r="E1014" s="1261"/>
      <c r="F1014" s="1261"/>
      <c r="G1014"/>
      <c r="I1014" s="1140"/>
    </row>
    <row r="1015" spans="1:9" ht="12.75" customHeight="1">
      <c r="A1015" s="1151"/>
      <c r="B1015" s="1151"/>
      <c r="C1015" s="1151"/>
      <c r="D1015" s="68"/>
      <c r="E1015" s="2"/>
      <c r="F1015" s="2"/>
      <c r="G1015"/>
      <c r="I1015" s="1140"/>
    </row>
    <row r="1016" spans="1:9" ht="12.75" customHeight="1">
      <c r="A1016" s="99"/>
      <c r="B1016" s="338" t="s">
        <v>314</v>
      </c>
      <c r="C1016" s="1151"/>
      <c r="D1016" s="1221" t="s">
        <v>597</v>
      </c>
      <c r="E1016" s="1221"/>
      <c r="F1016" s="1221"/>
      <c r="G1016"/>
      <c r="I1016" s="1140"/>
    </row>
    <row r="1017" spans="1:9" ht="12.75" customHeight="1">
      <c r="A1017" s="99"/>
      <c r="B1017" s="99"/>
      <c r="C1017" s="1151"/>
      <c r="D1017" s="1221"/>
      <c r="E1017" s="1221"/>
      <c r="F1017" s="1221"/>
      <c r="G1017"/>
      <c r="I1017" s="1140"/>
    </row>
    <row r="1018" spans="1:9" ht="12.75" customHeight="1">
      <c r="A1018" s="99"/>
      <c r="B1018" s="99"/>
      <c r="C1018" s="1151"/>
      <c r="D1018" s="68"/>
      <c r="E1018" s="2"/>
      <c r="F1018" s="2"/>
      <c r="G1018" s="2"/>
      <c r="I1018" s="1140"/>
    </row>
    <row r="1019" spans="1:9" ht="12.75" customHeight="1">
      <c r="A1019" s="144"/>
      <c r="B1019" s="338" t="s">
        <v>314</v>
      </c>
      <c r="C1019" s="794"/>
      <c r="D1019" s="1277" t="s">
        <v>598</v>
      </c>
      <c r="E1019" s="1277"/>
      <c r="F1019" s="1277"/>
      <c r="G1019" s="795"/>
      <c r="I1019" s="1140"/>
    </row>
    <row r="1020" spans="1:9" ht="12.75" customHeight="1">
      <c r="A1020" s="794"/>
      <c r="B1020" s="794"/>
      <c r="C1020" s="794"/>
      <c r="D1020" s="1277"/>
      <c r="E1020" s="1277"/>
      <c r="F1020" s="1277"/>
      <c r="G1020" s="795"/>
      <c r="I1020" s="1140"/>
    </row>
    <row r="1021" spans="1:9" ht="12.75" customHeight="1">
      <c r="A1021" s="794"/>
      <c r="B1021" s="794"/>
      <c r="C1021" s="794"/>
      <c r="D1021" s="1123"/>
      <c r="E1021" s="795"/>
      <c r="F1021" s="795"/>
      <c r="G1021" s="795"/>
      <c r="I1021" s="1140"/>
    </row>
    <row r="1022" spans="1:9" ht="12.75" customHeight="1">
      <c r="A1022" s="144"/>
      <c r="B1022" s="338" t="s">
        <v>309</v>
      </c>
      <c r="C1022" s="794"/>
      <c r="D1022" s="1284" t="s">
        <v>599</v>
      </c>
      <c r="E1022" s="1284"/>
      <c r="F1022" s="1284"/>
      <c r="G1022" s="795"/>
      <c r="I1022" s="1140"/>
    </row>
    <row r="1023" spans="1:9" ht="12.75" customHeight="1">
      <c r="A1023" s="794"/>
      <c r="B1023" s="794"/>
      <c r="C1023" s="794"/>
      <c r="D1023" s="1123"/>
      <c r="E1023" s="795"/>
      <c r="F1023" s="795"/>
      <c r="G1023" s="795"/>
      <c r="I1023" s="1140"/>
    </row>
    <row r="1024" spans="1:9" ht="12.75" customHeight="1">
      <c r="A1024" s="99"/>
      <c r="B1024" s="338" t="s">
        <v>314</v>
      </c>
      <c r="C1024" s="1151"/>
      <c r="D1024" s="1261" t="s">
        <v>600</v>
      </c>
      <c r="E1024" s="1261"/>
      <c r="F1024" s="1261"/>
      <c r="G1024" s="2"/>
      <c r="I1024" s="1140"/>
    </row>
    <row r="1025" spans="1:9" ht="12.75" customHeight="1">
      <c r="A1025" s="99"/>
      <c r="B1025" s="99"/>
      <c r="C1025" s="1151"/>
      <c r="D1025" s="68"/>
      <c r="E1025" s="2"/>
      <c r="F1025" s="2"/>
      <c r="G1025" s="2"/>
      <c r="I1025" s="1140"/>
    </row>
    <row r="1026" spans="1:9" ht="12.75" customHeight="1">
      <c r="A1026" s="99"/>
      <c r="B1026" s="338" t="s">
        <v>314</v>
      </c>
      <c r="C1026" s="1151"/>
      <c r="D1026" s="1221" t="s">
        <v>601</v>
      </c>
      <c r="E1026" s="1221"/>
      <c r="F1026" s="1221"/>
      <c r="G1026" s="2"/>
      <c r="I1026" s="1140"/>
    </row>
    <row r="1027" spans="1:9" ht="12.75" customHeight="1">
      <c r="A1027" s="99"/>
      <c r="B1027" s="99"/>
      <c r="C1027" s="1151"/>
      <c r="D1027" s="1221"/>
      <c r="E1027" s="1221"/>
      <c r="F1027" s="1221"/>
      <c r="G1027" s="2"/>
      <c r="I1027" s="1140"/>
    </row>
    <row r="1028" spans="1:9" ht="12.75" customHeight="1">
      <c r="A1028" s="1151"/>
      <c r="B1028" s="1151"/>
      <c r="C1028" s="1151"/>
      <c r="D1028" s="2"/>
      <c r="E1028" s="2"/>
      <c r="F1028" s="2"/>
      <c r="G1028" s="2"/>
      <c r="I1028" s="1140"/>
    </row>
    <row r="1029" spans="1:9" ht="12.75" customHeight="1">
      <c r="A1029" s="1270" t="s">
        <v>602</v>
      </c>
      <c r="B1029" s="1270"/>
      <c r="C1029" s="1270"/>
      <c r="D1029" s="1270"/>
      <c r="E1029" s="1270"/>
      <c r="F1029" s="1270"/>
      <c r="G1029" s="1270"/>
      <c r="H1029" s="815"/>
      <c r="I1029" s="936"/>
    </row>
    <row r="1030" spans="1:9" ht="12.75" customHeight="1">
      <c r="A1030" s="1151"/>
      <c r="B1030" s="1151"/>
      <c r="C1030" s="1151"/>
      <c r="D1030" s="2"/>
      <c r="E1030" s="2"/>
      <c r="F1030" s="2"/>
      <c r="G1030" s="2"/>
      <c r="I1030" s="1140"/>
    </row>
    <row r="1031" spans="1:9" ht="12.75" customHeight="1">
      <c r="A1031" s="1151"/>
      <c r="B1031" s="1151"/>
      <c r="C1031" s="1151"/>
      <c r="D1031" s="1286" t="s">
        <v>603</v>
      </c>
      <c r="E1031" s="1286"/>
      <c r="F1031" s="1286"/>
      <c r="G1031" s="2"/>
      <c r="I1031" s="1140"/>
    </row>
    <row r="1032" spans="1:9" ht="12.75" customHeight="1">
      <c r="A1032" s="1151"/>
      <c r="B1032" s="1151"/>
      <c r="C1032" s="1151"/>
      <c r="D1032" s="1284" t="s">
        <v>604</v>
      </c>
      <c r="E1032" s="1284"/>
      <c r="F1032" s="1284"/>
      <c r="G1032" s="2"/>
      <c r="I1032" s="1140"/>
    </row>
    <row r="1033" spans="1:9" ht="12.75" customHeight="1">
      <c r="A1033" s="97"/>
      <c r="B1033" s="97"/>
      <c r="C1033" s="97"/>
      <c r="D1033" s="2"/>
      <c r="E1033" s="2"/>
      <c r="F1033" s="2"/>
      <c r="G1033" s="2"/>
      <c r="I1033" s="1140"/>
    </row>
    <row r="1034" spans="1:9" ht="12.75" customHeight="1">
      <c r="A1034" s="99"/>
      <c r="B1034" s="99"/>
      <c r="C1034" s="98"/>
      <c r="D1034" s="1286" t="s">
        <v>605</v>
      </c>
      <c r="E1034" s="1286"/>
      <c r="F1034" s="1286"/>
      <c r="G1034" s="2"/>
      <c r="I1034" s="1140"/>
    </row>
    <row r="1035" spans="1:9" ht="12.75" customHeight="1">
      <c r="A1035" s="1151"/>
      <c r="B1035" s="338" t="s">
        <v>309</v>
      </c>
      <c r="C1035" s="1151"/>
      <c r="D1035" s="1284" t="s">
        <v>606</v>
      </c>
      <c r="E1035" s="1284"/>
      <c r="F1035" s="1284"/>
      <c r="G1035" s="2"/>
      <c r="I1035" s="1140"/>
    </row>
    <row r="1036" spans="1:9" ht="12.75" customHeight="1">
      <c r="A1036" s="1151"/>
      <c r="B1036" s="99"/>
      <c r="C1036" s="1151"/>
      <c r="D1036" s="1284" t="s">
        <v>607</v>
      </c>
      <c r="E1036" s="1284"/>
      <c r="F1036" s="1284"/>
      <c r="G1036" s="2"/>
      <c r="I1036" s="1140"/>
    </row>
    <row r="1037" spans="1:9" ht="12.75" customHeight="1">
      <c r="A1037" s="1151"/>
      <c r="B1037" s="1151"/>
      <c r="C1037" s="1151"/>
      <c r="D1037" s="1284"/>
      <c r="E1037" s="1284"/>
      <c r="F1037" s="1284"/>
      <c r="G1037" s="2"/>
      <c r="I1037" s="1140"/>
    </row>
    <row r="1038" spans="1:9" ht="12.75" customHeight="1">
      <c r="A1038" s="1270" t="s">
        <v>608</v>
      </c>
      <c r="B1038" s="1270"/>
      <c r="C1038" s="1270"/>
      <c r="D1038" s="1270"/>
      <c r="E1038" s="1270"/>
      <c r="F1038" s="1270"/>
      <c r="G1038" s="1270"/>
      <c r="H1038" s="815"/>
      <c r="I1038" s="936"/>
    </row>
    <row r="1039" spans="1:9" ht="12.75" customHeight="1">
      <c r="A1039" s="68"/>
      <c r="B1039" s="68"/>
      <c r="C1039" s="1151"/>
      <c r="D1039" s="2"/>
      <c r="E1039" s="2"/>
      <c r="F1039" s="2"/>
      <c r="G1039" s="2"/>
      <c r="I1039" s="1140"/>
    </row>
    <row r="1040" spans="1:9" ht="12.75" hidden="1" customHeight="1">
      <c r="A1040" s="68"/>
      <c r="B1040" s="272"/>
      <c r="D1040" s="1291" t="s">
        <v>609</v>
      </c>
      <c r="E1040" s="1291"/>
      <c r="F1040" s="1291"/>
      <c r="G1040" s="2"/>
      <c r="I1040" s="1140"/>
    </row>
    <row r="1041" spans="1:9" ht="12.75" hidden="1" customHeight="1">
      <c r="A1041" s="68"/>
      <c r="B1041" s="338" t="s">
        <v>547</v>
      </c>
      <c r="D1041" s="1253" t="s">
        <v>606</v>
      </c>
      <c r="E1041" s="1253"/>
      <c r="F1041" s="1253"/>
      <c r="G1041" s="2"/>
      <c r="I1041" s="1140"/>
    </row>
    <row r="1042" spans="1:9" ht="12.75" hidden="1" customHeight="1">
      <c r="A1042" s="68"/>
      <c r="B1042" s="272"/>
      <c r="D1042" s="1253" t="s">
        <v>610</v>
      </c>
      <c r="E1042" s="1253"/>
      <c r="F1042" s="1253"/>
      <c r="G1042" s="2"/>
      <c r="I1042" s="1140"/>
    </row>
    <row r="1043" spans="1:9" ht="12.75" hidden="1" customHeight="1">
      <c r="A1043" s="68"/>
      <c r="B1043" s="272"/>
      <c r="D1043" s="1121"/>
      <c r="E1043" s="1121"/>
      <c r="F1043" s="1121"/>
      <c r="G1043" s="2"/>
      <c r="I1043" s="1140"/>
    </row>
    <row r="1044" spans="1:9" ht="12.75" customHeight="1">
      <c r="A1044" s="68"/>
      <c r="B1044" s="68"/>
      <c r="C1044" s="1151"/>
      <c r="D1044" s="1292" t="s">
        <v>611</v>
      </c>
      <c r="E1044" s="1292"/>
      <c r="F1044" s="1292"/>
      <c r="G1044" s="2"/>
      <c r="I1044" s="1140"/>
    </row>
    <row r="1045" spans="1:9" ht="12.75" customHeight="1">
      <c r="A1045" s="198"/>
      <c r="B1045" s="198"/>
      <c r="C1045" s="198"/>
      <c r="D1045" s="1262" t="s">
        <v>612</v>
      </c>
      <c r="E1045" s="1262"/>
      <c r="F1045" s="1262"/>
      <c r="G1045" s="57"/>
      <c r="I1045" s="1140"/>
    </row>
    <row r="1046" spans="1:9" ht="12.75" customHeight="1">
      <c r="A1046" s="99"/>
      <c r="B1046" s="338" t="s">
        <v>314</v>
      </c>
      <c r="C1046" s="1151"/>
      <c r="D1046" s="1262" t="s">
        <v>613</v>
      </c>
      <c r="E1046" s="1262"/>
      <c r="F1046" s="1262"/>
      <c r="G1046" s="2"/>
      <c r="I1046" s="1140"/>
    </row>
    <row r="1047" spans="1:9" ht="12.75" customHeight="1">
      <c r="A1047" s="1151"/>
      <c r="B1047" s="1151"/>
      <c r="C1047" s="1151"/>
      <c r="D1047" s="823" t="s">
        <v>614</v>
      </c>
      <c r="E1047" s="55"/>
      <c r="F1047" s="55"/>
      <c r="G1047" s="2"/>
      <c r="I1047" s="1140"/>
    </row>
    <row r="1048" spans="1:9">
      <c r="A1048" s="272"/>
      <c r="B1048" s="272"/>
      <c r="C1048" s="272"/>
      <c r="I1048" s="1140"/>
    </row>
    <row r="1049" spans="1:9">
      <c r="A1049" s="1270" t="s">
        <v>615</v>
      </c>
      <c r="B1049" s="1270"/>
      <c r="C1049" s="1270"/>
      <c r="D1049" s="1270"/>
      <c r="E1049" s="1270"/>
      <c r="F1049" s="1270"/>
      <c r="G1049" s="1270"/>
      <c r="H1049" s="815"/>
      <c r="I1049" s="936"/>
    </row>
    <row r="1050" spans="1:9">
      <c r="A1050" s="272"/>
      <c r="B1050" s="272"/>
      <c r="C1050" s="272"/>
      <c r="I1050" s="1140"/>
    </row>
    <row r="1051" spans="1:9">
      <c r="A1051" s="272"/>
      <c r="B1051" s="272"/>
      <c r="C1051" s="272"/>
      <c r="D1051" s="274" t="s">
        <v>616</v>
      </c>
      <c r="I1051" s="1140"/>
    </row>
    <row r="1052" spans="1:9">
      <c r="A1052" s="272"/>
      <c r="B1052" s="272"/>
      <c r="C1052" s="272"/>
      <c r="D1052" s="272" t="s">
        <v>617</v>
      </c>
      <c r="I1052" s="1140"/>
    </row>
    <row r="1053" spans="1:9">
      <c r="A1053" s="272"/>
      <c r="B1053" s="272"/>
      <c r="C1053" s="272"/>
      <c r="D1053" s="274"/>
      <c r="I1053" s="1140"/>
    </row>
    <row r="1054" spans="1:9">
      <c r="A1054" s="272"/>
      <c r="B1054" s="338" t="s">
        <v>314</v>
      </c>
      <c r="C1054" s="272"/>
      <c r="D1054" s="1288" t="s">
        <v>618</v>
      </c>
      <c r="E1054" s="1288"/>
      <c r="F1054" s="1288"/>
      <c r="I1054" s="1140"/>
    </row>
    <row r="1055" spans="1:9">
      <c r="A1055" s="272"/>
      <c r="B1055" s="272"/>
      <c r="C1055" s="272"/>
      <c r="D1055" s="1288"/>
      <c r="E1055" s="1288"/>
      <c r="F1055" s="1288"/>
      <c r="I1055" s="1140"/>
    </row>
    <row r="1056" spans="1:9">
      <c r="A1056" s="272"/>
      <c r="B1056" s="272"/>
      <c r="C1056" s="272"/>
      <c r="D1056" s="1288"/>
      <c r="E1056" s="1288"/>
      <c r="F1056" s="1288"/>
      <c r="I1056" s="1140"/>
    </row>
    <row r="1057" spans="1:9">
      <c r="A1057" s="272"/>
      <c r="B1057" s="272"/>
      <c r="C1057" s="272"/>
      <c r="D1057" s="1288"/>
      <c r="E1057" s="1288"/>
      <c r="F1057" s="1288"/>
      <c r="I1057" s="1140"/>
    </row>
    <row r="1058" spans="1:9">
      <c r="A1058" s="272"/>
      <c r="B1058" s="272"/>
      <c r="C1058" s="272"/>
      <c r="I1058" s="1140"/>
    </row>
    <row r="1059" spans="1:9">
      <c r="A1059" s="272"/>
      <c r="B1059" s="272"/>
      <c r="C1059" s="272"/>
      <c r="D1059" s="274" t="s">
        <v>619</v>
      </c>
      <c r="I1059" s="1140"/>
    </row>
    <row r="1060" spans="1:9">
      <c r="A1060" s="272"/>
      <c r="B1060" s="272"/>
      <c r="C1060" s="272"/>
      <c r="D1060" s="272" t="s">
        <v>620</v>
      </c>
      <c r="I1060" s="1140"/>
    </row>
    <row r="1061" spans="1:9">
      <c r="A1061" s="272"/>
      <c r="B1061" s="272"/>
      <c r="C1061" s="272"/>
      <c r="I1061" s="1140"/>
    </row>
    <row r="1062" spans="1:9">
      <c r="A1062" s="272"/>
      <c r="B1062" s="338" t="s">
        <v>309</v>
      </c>
      <c r="C1062" s="272"/>
      <c r="D1062" s="272" t="s">
        <v>567</v>
      </c>
      <c r="I1062" s="1140"/>
    </row>
    <row r="1063" spans="1:9">
      <c r="A1063" s="272"/>
      <c r="B1063" s="272"/>
      <c r="C1063" s="272"/>
      <c r="I1063" s="1140"/>
    </row>
    <row r="1064" spans="1:9">
      <c r="A1064" s="272"/>
      <c r="B1064" s="338" t="s">
        <v>309</v>
      </c>
      <c r="C1064" s="272"/>
      <c r="D1064" s="1288" t="s">
        <v>621</v>
      </c>
      <c r="E1064" s="1288"/>
      <c r="F1064" s="1288"/>
      <c r="I1064" s="1140"/>
    </row>
    <row r="1065" spans="1:9">
      <c r="A1065" s="272"/>
      <c r="B1065" s="272"/>
      <c r="C1065" s="272"/>
      <c r="D1065" s="1288"/>
      <c r="E1065" s="1288"/>
      <c r="F1065" s="1288"/>
      <c r="I1065" s="1140"/>
    </row>
    <row r="1066" spans="1:9">
      <c r="A1066" s="272"/>
      <c r="B1066" s="272"/>
      <c r="C1066" s="272"/>
      <c r="D1066" s="1288"/>
      <c r="E1066" s="1288"/>
      <c r="F1066" s="1288"/>
      <c r="I1066" s="1140"/>
    </row>
    <row r="1067" spans="1:9">
      <c r="A1067" s="272"/>
      <c r="B1067" s="272"/>
      <c r="C1067" s="272"/>
      <c r="D1067" s="1288"/>
      <c r="E1067" s="1288"/>
      <c r="F1067" s="1288"/>
      <c r="I1067" s="1140"/>
    </row>
    <row r="1068" spans="1:9">
      <c r="A1068" s="272"/>
      <c r="B1068" s="272"/>
      <c r="C1068" s="272"/>
      <c r="D1068" s="1288"/>
      <c r="E1068" s="1288"/>
      <c r="F1068" s="1288"/>
      <c r="I1068" s="1140"/>
    </row>
    <row r="1069" spans="1:9">
      <c r="A1069" s="272"/>
      <c r="B1069" s="272"/>
      <c r="C1069" s="272"/>
      <c r="I1069" s="1140"/>
    </row>
    <row r="1070" spans="1:9">
      <c r="A1070" s="1270" t="s">
        <v>622</v>
      </c>
      <c r="B1070" s="1270"/>
      <c r="C1070" s="1270"/>
      <c r="D1070" s="1270"/>
      <c r="E1070" s="1270"/>
      <c r="F1070" s="1270"/>
      <c r="G1070" s="1270"/>
      <c r="H1070" s="815"/>
      <c r="I1070" s="936"/>
    </row>
    <row r="1071" spans="1:9">
      <c r="A1071" s="272"/>
      <c r="B1071" s="272"/>
      <c r="C1071" s="272"/>
      <c r="I1071" s="1140"/>
    </row>
    <row r="1072" spans="1:9">
      <c r="A1072" s="272"/>
      <c r="B1072" s="272"/>
      <c r="C1072" s="272"/>
      <c r="I1072" s="1140"/>
    </row>
    <row r="1073" spans="1:9">
      <c r="A1073" s="272"/>
      <c r="B1073" s="338" t="s">
        <v>309</v>
      </c>
      <c r="C1073" s="272"/>
      <c r="D1073" s="376" t="s">
        <v>623</v>
      </c>
      <c r="I1073" s="1140"/>
    </row>
    <row r="1074" spans="1:9">
      <c r="A1074" s="272"/>
      <c r="B1074" s="272"/>
      <c r="C1074" s="272"/>
      <c r="D1074" s="376" t="s">
        <v>624</v>
      </c>
      <c r="I1074" s="1140"/>
    </row>
    <row r="1075" spans="1:9">
      <c r="A1075" s="272"/>
      <c r="B1075" s="272"/>
      <c r="C1075" s="272"/>
      <c r="D1075" s="376"/>
      <c r="I1075" s="1140"/>
    </row>
    <row r="1076" spans="1:9">
      <c r="A1076" s="272"/>
      <c r="B1076" s="338" t="s">
        <v>314</v>
      </c>
      <c r="C1076" s="272"/>
      <c r="D1076" s="376" t="s">
        <v>625</v>
      </c>
      <c r="I1076" s="1140"/>
    </row>
    <row r="1077" spans="1:9">
      <c r="A1077" s="272"/>
      <c r="B1077" s="272"/>
      <c r="C1077" s="272"/>
      <c r="D1077" s="376" t="s">
        <v>626</v>
      </c>
      <c r="I1077" s="1140"/>
    </row>
    <row r="1078" spans="1:9">
      <c r="A1078" s="272"/>
      <c r="B1078" s="272"/>
      <c r="C1078" s="272"/>
      <c r="D1078" s="376"/>
      <c r="I1078" s="1140"/>
    </row>
    <row r="1079" spans="1:9">
      <c r="A1079" s="272"/>
      <c r="B1079" s="338" t="s">
        <v>314</v>
      </c>
      <c r="C1079" s="272"/>
      <c r="D1079" s="69" t="s">
        <v>627</v>
      </c>
      <c r="I1079" s="1140"/>
    </row>
    <row r="1080" spans="1:9">
      <c r="A1080" s="272"/>
      <c r="B1080" s="272"/>
      <c r="C1080" s="272"/>
      <c r="D1080" s="1221" t="s">
        <v>628</v>
      </c>
      <c r="E1080" s="1221"/>
      <c r="F1080" s="1221"/>
      <c r="I1080" s="1140"/>
    </row>
    <row r="1081" spans="1:9">
      <c r="A1081" s="272"/>
      <c r="B1081" s="272"/>
      <c r="C1081" s="272"/>
      <c r="D1081" s="1221"/>
      <c r="E1081" s="1221"/>
      <c r="F1081" s="1221"/>
      <c r="I1081" s="1140"/>
    </row>
    <row r="1082" spans="1:9">
      <c r="A1082" s="272"/>
      <c r="B1082" s="272"/>
      <c r="C1082" s="272"/>
      <c r="D1082" s="1221"/>
      <c r="E1082" s="1221"/>
      <c r="F1082" s="1221"/>
      <c r="I1082" s="1140"/>
    </row>
    <row r="1083" spans="1:9">
      <c r="A1083" s="272"/>
      <c r="B1083" s="272"/>
      <c r="C1083" s="272"/>
      <c r="D1083" s="1221"/>
      <c r="E1083" s="1221"/>
      <c r="F1083" s="1221"/>
      <c r="I1083" s="1140"/>
    </row>
    <row r="1084" spans="1:9">
      <c r="A1084" s="272"/>
      <c r="B1084" s="272"/>
      <c r="C1084" s="272"/>
      <c r="D1084" s="69" t="s">
        <v>629</v>
      </c>
      <c r="I1084" s="1140"/>
    </row>
    <row r="1085" spans="1:9">
      <c r="A1085" s="272"/>
      <c r="B1085" s="272"/>
      <c r="C1085" s="272"/>
      <c r="D1085" s="69"/>
      <c r="I1085" s="1140"/>
    </row>
    <row r="1086" spans="1:9">
      <c r="A1086" s="272"/>
      <c r="B1086" s="272"/>
      <c r="C1086" s="272"/>
      <c r="D1086" s="376" t="s">
        <v>630</v>
      </c>
      <c r="I1086" s="1140"/>
    </row>
    <row r="1087" spans="1:9">
      <c r="A1087" s="272"/>
      <c r="B1087" s="338" t="s">
        <v>314</v>
      </c>
      <c r="C1087" s="272"/>
      <c r="D1087" s="1287" t="s">
        <v>631</v>
      </c>
      <c r="E1087" s="1287"/>
      <c r="F1087" s="1287"/>
      <c r="I1087" s="1140"/>
    </row>
    <row r="1088" spans="1:9">
      <c r="A1088" s="272"/>
      <c r="B1088" s="272"/>
      <c r="C1088" s="272"/>
      <c r="D1088" s="1287"/>
      <c r="E1088" s="1287"/>
      <c r="F1088" s="1287"/>
      <c r="I1088" s="1140"/>
    </row>
    <row r="1089" spans="1:9">
      <c r="A1089" s="272"/>
      <c r="B1089" s="272"/>
      <c r="C1089" s="272"/>
      <c r="D1089" s="1287"/>
      <c r="E1089" s="1287"/>
      <c r="F1089" s="1287"/>
      <c r="I1089" s="1140"/>
    </row>
    <row r="1090" spans="1:9">
      <c r="A1090" s="272"/>
      <c r="B1090" s="272"/>
      <c r="C1090" s="272"/>
      <c r="D1090" s="1287"/>
      <c r="E1090" s="1287"/>
      <c r="F1090" s="1287"/>
      <c r="I1090" s="1140"/>
    </row>
    <row r="1091" spans="1:9">
      <c r="A1091" s="272"/>
      <c r="B1091" s="272"/>
      <c r="C1091" s="272"/>
      <c r="D1091" s="1287"/>
      <c r="E1091" s="1287"/>
      <c r="F1091" s="1287"/>
      <c r="I1091" s="1140"/>
    </row>
    <row r="1092" spans="1:9">
      <c r="A1092" s="272"/>
      <c r="B1092" s="272"/>
      <c r="C1092" s="272"/>
      <c r="D1092" s="376" t="s">
        <v>632</v>
      </c>
      <c r="I1092" s="1140"/>
    </row>
    <row r="1093" spans="1:9">
      <c r="A1093" s="272"/>
      <c r="B1093" s="272"/>
      <c r="C1093" s="272"/>
      <c r="I1093" s="1140"/>
    </row>
    <row r="1094" spans="1:9">
      <c r="A1094" s="272"/>
      <c r="B1094" s="338" t="s">
        <v>314</v>
      </c>
      <c r="C1094" s="272"/>
      <c r="D1094" s="1237" t="s">
        <v>633</v>
      </c>
      <c r="E1094" s="1237"/>
      <c r="F1094" s="1237"/>
      <c r="I1094" s="1140"/>
    </row>
    <row r="1095" spans="1:9">
      <c r="A1095" s="272"/>
      <c r="B1095" s="272"/>
      <c r="C1095" s="272"/>
      <c r="D1095" s="1237"/>
      <c r="E1095" s="1237"/>
      <c r="F1095" s="1237"/>
      <c r="I1095" s="1140"/>
    </row>
    <row r="1096" spans="1:9">
      <c r="A1096" s="272"/>
      <c r="B1096" s="272"/>
      <c r="C1096" s="272"/>
      <c r="D1096" s="1237"/>
      <c r="E1096" s="1237"/>
      <c r="F1096" s="1237"/>
      <c r="I1096" s="1140"/>
    </row>
    <row r="1097" spans="1:9">
      <c r="A1097" s="272"/>
      <c r="B1097" s="272"/>
      <c r="C1097" s="272"/>
      <c r="I1097" s="1140"/>
    </row>
    <row r="1098" spans="1:9">
      <c r="A1098" s="1270" t="s">
        <v>634</v>
      </c>
      <c r="B1098" s="1270"/>
      <c r="C1098" s="1270"/>
      <c r="D1098" s="1270"/>
      <c r="E1098" s="1270"/>
      <c r="F1098" s="1270"/>
      <c r="G1098" s="1270"/>
      <c r="H1098" s="815"/>
      <c r="I1098" s="936"/>
    </row>
    <row r="1099" spans="1:9">
      <c r="A1099" s="272"/>
      <c r="B1099" s="272"/>
      <c r="C1099" s="272"/>
      <c r="I1099" s="1140"/>
    </row>
    <row r="1100" spans="1:9">
      <c r="A1100" s="272"/>
      <c r="B1100" s="272"/>
      <c r="C1100" s="272"/>
      <c r="I1100" s="1140"/>
    </row>
    <row r="1101" spans="1:9" ht="12.75" customHeight="1">
      <c r="A1101" s="272"/>
      <c r="B1101" s="338" t="s">
        <v>309</v>
      </c>
      <c r="C1101" s="272"/>
      <c r="D1101" s="1289" t="s">
        <v>635</v>
      </c>
      <c r="E1101" s="1289"/>
      <c r="F1101" s="1289"/>
      <c r="I1101" s="1140"/>
    </row>
    <row r="1102" spans="1:9">
      <c r="A1102" s="272"/>
      <c r="B1102" s="272"/>
      <c r="C1102" s="272"/>
      <c r="D1102" s="1289"/>
      <c r="E1102" s="1289"/>
      <c r="F1102" s="1289"/>
      <c r="I1102" s="1140"/>
    </row>
    <row r="1103" spans="1:9">
      <c r="A1103" s="272"/>
      <c r="B1103" s="272"/>
      <c r="C1103" s="272"/>
      <c r="D1103" s="1290" t="s">
        <v>636</v>
      </c>
      <c r="E1103" s="1221"/>
      <c r="F1103" s="1221"/>
      <c r="I1103" s="1140"/>
    </row>
    <row r="1104" spans="1:9">
      <c r="A1104" s="272"/>
      <c r="B1104" s="272"/>
      <c r="C1104" s="272"/>
      <c r="D1104" s="376"/>
      <c r="I1104" s="1140"/>
    </row>
    <row r="1105" spans="1:9">
      <c r="A1105" s="272"/>
      <c r="B1105" s="338" t="s">
        <v>314</v>
      </c>
      <c r="C1105" s="272"/>
      <c r="D1105" s="1287" t="s">
        <v>637</v>
      </c>
      <c r="E1105" s="1287"/>
      <c r="F1105" s="1287"/>
      <c r="I1105" s="1140"/>
    </row>
    <row r="1106" spans="1:9">
      <c r="A1106" s="272"/>
      <c r="B1106" s="272"/>
      <c r="C1106" s="272"/>
      <c r="D1106" s="1287"/>
      <c r="E1106" s="1287"/>
      <c r="F1106" s="1287"/>
      <c r="I1106" s="1140"/>
    </row>
    <row r="1107" spans="1:9">
      <c r="A1107" s="272"/>
      <c r="B1107" s="272"/>
      <c r="C1107" s="272"/>
      <c r="D1107" s="376"/>
      <c r="I1107" s="1140"/>
    </row>
    <row r="1108" spans="1:9">
      <c r="A1108" s="272"/>
      <c r="B1108" s="338" t="s">
        <v>314</v>
      </c>
      <c r="C1108" s="272"/>
      <c r="D1108" s="1287" t="s">
        <v>638</v>
      </c>
      <c r="E1108" s="1287"/>
      <c r="F1108" s="1287"/>
      <c r="I1108" s="1140"/>
    </row>
    <row r="1109" spans="1:9">
      <c r="A1109" s="272"/>
      <c r="B1109" s="272"/>
      <c r="C1109" s="272"/>
      <c r="D1109" s="1287"/>
      <c r="E1109" s="1287"/>
      <c r="F1109" s="1287"/>
      <c r="I1109" s="1140"/>
    </row>
    <row r="1110" spans="1:9">
      <c r="A1110" s="272"/>
      <c r="B1110" s="272"/>
      <c r="C1110" s="272"/>
      <c r="D1110" s="1287"/>
      <c r="E1110" s="1287"/>
      <c r="F1110" s="1287"/>
      <c r="I1110" s="1140"/>
    </row>
    <row r="1111" spans="1:9">
      <c r="A1111" s="272"/>
      <c r="B1111" s="272"/>
      <c r="C1111" s="272"/>
      <c r="D1111" s="1287"/>
      <c r="E1111" s="1287"/>
      <c r="F1111" s="1287"/>
      <c r="I1111" s="1140"/>
    </row>
    <row r="1112" spans="1:9">
      <c r="A1112" s="272"/>
      <c r="B1112" s="272"/>
      <c r="C1112" s="272"/>
      <c r="D1112" s="1287"/>
      <c r="E1112" s="1287"/>
      <c r="F1112" s="1287"/>
      <c r="I1112" s="1140"/>
    </row>
    <row r="1113" spans="1:9">
      <c r="A1113" s="272"/>
      <c r="B1113" s="272"/>
      <c r="C1113" s="272"/>
      <c r="D1113" s="1287"/>
      <c r="E1113" s="1287"/>
      <c r="F1113" s="1287"/>
      <c r="I1113" s="1140"/>
    </row>
    <row r="1114" spans="1:9" ht="12.5">
      <c r="A1114" s="272"/>
      <c r="B1114" s="272"/>
      <c r="C1114" s="272"/>
      <c r="D1114" s="376"/>
      <c r="I1114" s="335"/>
    </row>
    <row r="1115" spans="1:9">
      <c r="A1115" s="272"/>
      <c r="B1115" s="338" t="s">
        <v>314</v>
      </c>
      <c r="C1115" s="272"/>
      <c r="D1115" s="1287" t="s">
        <v>639</v>
      </c>
      <c r="E1115" s="1287"/>
      <c r="F1115" s="1287"/>
      <c r="I1115" s="1140"/>
    </row>
    <row r="1116" spans="1:9">
      <c r="A1116" s="272"/>
      <c r="B1116" s="272"/>
      <c r="C1116" s="272"/>
      <c r="D1116" s="1287"/>
      <c r="E1116" s="1287"/>
      <c r="F1116" s="1287"/>
      <c r="I1116" s="1140"/>
    </row>
    <row r="1117" spans="1:9">
      <c r="A1117" s="272"/>
      <c r="B1117" s="272"/>
      <c r="C1117" s="272"/>
      <c r="D1117" s="1287"/>
      <c r="E1117" s="1287"/>
      <c r="F1117" s="1287"/>
      <c r="I1117" s="1140"/>
    </row>
    <row r="1118" spans="1:9">
      <c r="A1118" s="272"/>
      <c r="B1118" s="272"/>
      <c r="C1118" s="272"/>
      <c r="D1118" s="376"/>
      <c r="I1118" s="1140"/>
    </row>
    <row r="1119" spans="1:9">
      <c r="A1119" s="272"/>
      <c r="B1119" s="338" t="s">
        <v>314</v>
      </c>
      <c r="C1119" s="272"/>
      <c r="D1119" s="1227" t="s">
        <v>640</v>
      </c>
      <c r="E1119" s="1227"/>
      <c r="F1119" s="1227"/>
      <c r="I1119" s="1140"/>
    </row>
    <row r="1120" spans="1:9">
      <c r="A1120" s="272"/>
      <c r="B1120" s="272"/>
      <c r="C1120" s="272"/>
      <c r="D1120" s="1227"/>
      <c r="E1120" s="1227"/>
      <c r="F1120" s="1227"/>
      <c r="I1120" s="1140"/>
    </row>
    <row r="1121" spans="1:9">
      <c r="A1121" s="272"/>
      <c r="B1121" s="272"/>
      <c r="C1121" s="272"/>
      <c r="D1121" s="1227"/>
      <c r="E1121" s="1227"/>
      <c r="F1121" s="1227"/>
      <c r="I1121" s="1140"/>
    </row>
    <row r="1122" spans="1:9">
      <c r="A1122" s="272"/>
      <c r="B1122" s="272"/>
      <c r="C1122" s="272"/>
      <c r="D1122" s="1115"/>
      <c r="E1122" s="1115"/>
      <c r="F1122" s="1115"/>
      <c r="I1122" s="1140"/>
    </row>
    <row r="1123" spans="1:9" ht="15.75" customHeight="1">
      <c r="A1123" s="272"/>
      <c r="B1123" s="338" t="s">
        <v>314</v>
      </c>
      <c r="C1123" s="272"/>
      <c r="D1123" s="1221" t="s">
        <v>641</v>
      </c>
      <c r="E1123" s="1221"/>
      <c r="F1123" s="1221"/>
      <c r="I1123" s="1140"/>
    </row>
    <row r="1124" spans="1:9">
      <c r="A1124" s="272"/>
      <c r="B1124" s="272"/>
      <c r="C1124" s="272"/>
      <c r="D1124" s="1221"/>
      <c r="E1124" s="1221"/>
      <c r="F1124" s="1221"/>
      <c r="I1124" s="1140"/>
    </row>
    <row r="1125" spans="1:9">
      <c r="A1125" s="272"/>
      <c r="B1125" s="272"/>
      <c r="C1125" s="272"/>
      <c r="D1125" s="1221"/>
      <c r="E1125" s="1221"/>
      <c r="F1125" s="1221"/>
      <c r="I1125" s="1140"/>
    </row>
    <row r="1126" spans="1:9">
      <c r="A1126" s="272"/>
      <c r="B1126" s="272"/>
      <c r="C1126" s="272"/>
      <c r="D1126" s="1221"/>
      <c r="E1126" s="1221"/>
      <c r="F1126" s="1221"/>
      <c r="I1126" s="1140"/>
    </row>
    <row r="1127" spans="1:9">
      <c r="A1127" s="272"/>
      <c r="B1127" s="272"/>
      <c r="C1127" s="272"/>
      <c r="D1127" s="1115"/>
      <c r="E1127" s="1115"/>
      <c r="F1127" s="1115"/>
      <c r="I1127" s="1140"/>
    </row>
    <row r="1128" spans="1:9" ht="12.5">
      <c r="A1128" s="272"/>
      <c r="B1128" s="272"/>
      <c r="C1128" s="272"/>
      <c r="I1128" s="942"/>
    </row>
    <row r="1129" spans="1:9">
      <c r="A1129" s="272"/>
      <c r="B1129" s="272"/>
      <c r="C1129" s="272"/>
      <c r="I1129" s="1140"/>
    </row>
    <row r="1130" spans="1:9">
      <c r="A1130" s="272"/>
      <c r="B1130" s="272"/>
      <c r="C1130" s="272"/>
      <c r="I1130" s="1140"/>
    </row>
    <row r="1131" spans="1:9">
      <c r="A1131" s="272"/>
      <c r="B1131" s="272"/>
      <c r="C1131" s="272"/>
    </row>
    <row r="1132" spans="1:9">
      <c r="A1132" s="272"/>
      <c r="B1132" s="272"/>
      <c r="C1132" s="272"/>
    </row>
    <row r="1133" spans="1:9">
      <c r="A1133" s="272"/>
      <c r="B1133" s="272"/>
      <c r="C1133" s="272"/>
    </row>
    <row r="1134" spans="1:9">
      <c r="A1134" s="272"/>
      <c r="B1134" s="272"/>
      <c r="C1134" s="272"/>
    </row>
    <row r="1135" spans="1:9">
      <c r="A1135" s="272"/>
      <c r="B1135" s="272"/>
      <c r="C1135" s="272"/>
    </row>
    <row r="1136" spans="1:9">
      <c r="A1136" s="272"/>
      <c r="B1136" s="272"/>
      <c r="C1136" s="272"/>
    </row>
    <row r="1137" spans="1:3">
      <c r="A1137" s="272"/>
      <c r="B1137" s="272"/>
      <c r="C1137" s="272"/>
    </row>
    <row r="1138" spans="1:3">
      <c r="A1138" s="272"/>
      <c r="B1138" s="272"/>
      <c r="C1138" s="272"/>
    </row>
    <row r="1139" spans="1:3">
      <c r="A1139" s="272"/>
      <c r="B1139" s="272"/>
      <c r="C1139" s="272"/>
    </row>
    <row r="1140" spans="1:3">
      <c r="A1140" s="272"/>
      <c r="B1140" s="272"/>
      <c r="C1140" s="272"/>
    </row>
    <row r="1141" spans="1:3">
      <c r="A1141" s="272"/>
      <c r="B1141" s="272"/>
      <c r="C1141" s="272"/>
    </row>
    <row r="1142" spans="1:3">
      <c r="A1142" s="272"/>
      <c r="B1142" s="272"/>
      <c r="C1142" s="272"/>
    </row>
    <row r="1143" spans="1:3">
      <c r="A1143" s="272"/>
      <c r="B1143" s="272"/>
      <c r="C1143" s="272"/>
    </row>
    <row r="1144" spans="1:3">
      <c r="A1144" s="272"/>
      <c r="B1144" s="272"/>
      <c r="C1144" s="272"/>
    </row>
    <row r="1145" spans="1:3">
      <c r="A1145" s="272"/>
      <c r="B1145" s="272"/>
      <c r="C1145" s="272"/>
    </row>
    <row r="1146" spans="1:3"/>
    <row r="1147" spans="1:3"/>
    <row r="1148" spans="1:3"/>
    <row r="1149" spans="1:3"/>
    <row r="1150" spans="1:3"/>
    <row r="1151" spans="1:3"/>
    <row r="1152" spans="1:3"/>
    <row r="1153" spans="1:3">
      <c r="A1153" s="272"/>
      <c r="B1153" s="272"/>
      <c r="C1153" s="272"/>
    </row>
    <row r="1154" spans="1:3">
      <c r="A1154" s="272"/>
      <c r="B1154" s="272"/>
      <c r="C1154" s="272"/>
    </row>
    <row r="1155" spans="1:3">
      <c r="A1155" s="272"/>
      <c r="B1155" s="272"/>
      <c r="C1155" s="272"/>
    </row>
    <row r="1156" spans="1:3">
      <c r="A1156" s="272"/>
      <c r="B1156" s="272"/>
      <c r="C1156" s="272"/>
    </row>
    <row r="1157" spans="1:3">
      <c r="A1157" s="272"/>
      <c r="B1157" s="272"/>
      <c r="C1157" s="272"/>
    </row>
    <row r="1158" spans="1:3">
      <c r="A1158" s="272"/>
      <c r="B1158" s="272"/>
      <c r="C1158" s="272"/>
    </row>
    <row r="1159" spans="1:3">
      <c r="A1159" s="272"/>
      <c r="B1159" s="272"/>
      <c r="C1159" s="272"/>
    </row>
    <row r="1160" spans="1:3">
      <c r="A1160" s="272"/>
      <c r="B1160" s="272"/>
      <c r="C1160" s="272"/>
    </row>
    <row r="1161" spans="1:3">
      <c r="A1161" s="272"/>
      <c r="B1161" s="272"/>
      <c r="C1161" s="272"/>
    </row>
    <row r="1162" spans="1:3">
      <c r="A1162" s="272"/>
      <c r="B1162" s="272"/>
      <c r="C1162" s="272"/>
    </row>
    <row r="1163" spans="1:3">
      <c r="A1163" s="272"/>
      <c r="B1163" s="272"/>
      <c r="C1163" s="272"/>
    </row>
    <row r="1164" spans="1:3">
      <c r="A1164" s="272"/>
      <c r="B1164" s="272"/>
      <c r="C1164" s="272"/>
    </row>
    <row r="1165" spans="1:3">
      <c r="A1165" s="272"/>
      <c r="B1165" s="272"/>
      <c r="C1165" s="272"/>
    </row>
    <row r="1166" spans="1:3">
      <c r="A1166" s="272"/>
      <c r="B1166" s="272"/>
      <c r="C1166" s="272"/>
    </row>
    <row r="1167" spans="1:3">
      <c r="A1167" s="272"/>
      <c r="B1167" s="272"/>
      <c r="C1167" s="272"/>
    </row>
    <row r="1168" spans="1:3">
      <c r="A1168" s="272"/>
      <c r="B1168" s="272"/>
      <c r="C1168" s="272"/>
    </row>
    <row r="1169" spans="1:3">
      <c r="A1169" s="272"/>
      <c r="B1169" s="272"/>
      <c r="C1169" s="272"/>
    </row>
    <row r="1170" spans="1:3">
      <c r="A1170" s="272"/>
      <c r="B1170" s="272"/>
      <c r="C1170" s="272"/>
    </row>
    <row r="1171" spans="1:3">
      <c r="A1171" s="272"/>
      <c r="B1171" s="272"/>
      <c r="C1171" s="272"/>
    </row>
    <row r="1172" spans="1:3">
      <c r="A1172" s="272"/>
      <c r="B1172" s="272"/>
      <c r="C1172" s="272"/>
    </row>
    <row r="1173" spans="1:3">
      <c r="A1173" s="272"/>
      <c r="B1173" s="272"/>
      <c r="C1173" s="272"/>
    </row>
    <row r="1174" spans="1:3">
      <c r="A1174" s="272"/>
      <c r="B1174" s="272"/>
      <c r="C1174" s="272"/>
    </row>
    <row r="1175" spans="1:3">
      <c r="A1175" s="272"/>
      <c r="B1175" s="272"/>
      <c r="C1175" s="272"/>
    </row>
    <row r="1176" spans="1:3">
      <c r="A1176" s="272"/>
      <c r="B1176" s="272"/>
      <c r="C1176" s="272"/>
    </row>
    <row r="1177" spans="1:3">
      <c r="A1177" s="272"/>
      <c r="B1177" s="272"/>
      <c r="C1177" s="272"/>
    </row>
    <row r="1178" spans="1:3">
      <c r="A1178" s="272"/>
      <c r="B1178" s="272"/>
      <c r="C1178" s="272"/>
    </row>
    <row r="1179" spans="1:3">
      <c r="A1179" s="272"/>
      <c r="B1179" s="272"/>
      <c r="C1179" s="272"/>
    </row>
    <row r="1180" spans="1:3">
      <c r="A1180" s="272"/>
      <c r="B1180" s="272"/>
      <c r="C1180" s="272"/>
    </row>
    <row r="1181" spans="1:3">
      <c r="A1181" s="272"/>
      <c r="B1181" s="272"/>
      <c r="C1181" s="272"/>
    </row>
    <row r="1182" spans="1:3">
      <c r="A1182" s="272"/>
      <c r="B1182" s="272"/>
      <c r="C1182" s="272"/>
    </row>
    <row r="1183" spans="1:3">
      <c r="A1183" s="272"/>
      <c r="B1183" s="272"/>
      <c r="C1183" s="272"/>
    </row>
    <row r="1184" spans="1:3">
      <c r="A1184" s="272"/>
      <c r="B1184" s="272"/>
      <c r="C1184" s="272"/>
    </row>
    <row r="1185" spans="1:3">
      <c r="A1185" s="272"/>
      <c r="B1185" s="272"/>
      <c r="C1185" s="272"/>
    </row>
    <row r="1186" spans="1:3">
      <c r="A1186" s="272"/>
      <c r="B1186" s="272"/>
      <c r="C1186" s="272"/>
    </row>
    <row r="1187" spans="1:3">
      <c r="A1187" s="272"/>
      <c r="B1187" s="272"/>
      <c r="C1187" s="272"/>
    </row>
    <row r="1188" spans="1:3">
      <c r="A1188" s="272"/>
      <c r="B1188" s="272"/>
      <c r="C1188" s="272"/>
    </row>
    <row r="1189" spans="1:3">
      <c r="A1189" s="272"/>
      <c r="B1189" s="272"/>
      <c r="C1189" s="272"/>
    </row>
    <row r="1190" spans="1:3">
      <c r="A1190" s="272"/>
      <c r="B1190" s="272"/>
      <c r="C1190" s="272"/>
    </row>
    <row r="1191" spans="1:3">
      <c r="A1191" s="272"/>
      <c r="B1191" s="272"/>
      <c r="C1191" s="272"/>
    </row>
    <row r="1192" spans="1:3">
      <c r="A1192" s="272"/>
      <c r="B1192" s="272"/>
      <c r="C1192" s="272"/>
    </row>
    <row r="1193" spans="1:3">
      <c r="A1193" s="272"/>
      <c r="B1193" s="272"/>
      <c r="C1193" s="272"/>
    </row>
    <row r="1194" spans="1:3">
      <c r="A1194" s="272"/>
      <c r="B1194" s="272"/>
      <c r="C1194" s="272"/>
    </row>
    <row r="1195" spans="1:3">
      <c r="A1195" s="272"/>
      <c r="B1195" s="272"/>
      <c r="C1195" s="272"/>
    </row>
    <row r="1196" spans="1:3">
      <c r="A1196" s="272"/>
      <c r="B1196" s="272"/>
      <c r="C1196" s="272"/>
    </row>
    <row r="1197" spans="1:3">
      <c r="A1197" s="272"/>
      <c r="B1197" s="272"/>
      <c r="C1197" s="272"/>
    </row>
    <row r="1198" spans="1:3">
      <c r="A1198" s="272"/>
      <c r="B1198" s="272"/>
      <c r="C1198" s="272"/>
    </row>
    <row r="1199" spans="1:3">
      <c r="A1199" s="272"/>
      <c r="B1199" s="272"/>
      <c r="C1199" s="272"/>
    </row>
    <row r="1200" spans="1:3">
      <c r="A1200" s="272"/>
      <c r="B1200" s="272"/>
      <c r="C1200" s="272"/>
    </row>
    <row r="1201" spans="1:3">
      <c r="A1201" s="272"/>
      <c r="B1201" s="272"/>
      <c r="C1201" s="272"/>
    </row>
    <row r="1202" spans="1:3">
      <c r="A1202" s="272"/>
      <c r="B1202" s="272"/>
      <c r="C1202" s="272"/>
    </row>
    <row r="1203" spans="1:3">
      <c r="A1203" s="272"/>
      <c r="B1203" s="272"/>
      <c r="C1203" s="272"/>
    </row>
    <row r="1204" spans="1:3">
      <c r="A1204" s="272"/>
      <c r="B1204" s="272"/>
      <c r="C1204" s="272"/>
    </row>
    <row r="1205" spans="1:3">
      <c r="A1205" s="272"/>
      <c r="B1205" s="272"/>
      <c r="C1205" s="272"/>
    </row>
    <row r="1206" spans="1:3">
      <c r="A1206" s="272"/>
      <c r="B1206" s="272"/>
      <c r="C1206" s="272"/>
    </row>
    <row r="1207" spans="1:3">
      <c r="A1207" s="272"/>
      <c r="B1207" s="272"/>
      <c r="C1207" s="272"/>
    </row>
    <row r="1208" spans="1:3">
      <c r="A1208" s="272"/>
      <c r="B1208" s="272"/>
      <c r="C1208" s="272"/>
    </row>
    <row r="1209" spans="1:3">
      <c r="A1209" s="272"/>
      <c r="B1209" s="272"/>
      <c r="C1209" s="272"/>
    </row>
    <row r="1210" spans="1:3">
      <c r="A1210" s="272"/>
      <c r="B1210" s="272"/>
      <c r="C1210" s="272"/>
    </row>
    <row r="1211" spans="1:3">
      <c r="A1211" s="272"/>
      <c r="B1211" s="272"/>
      <c r="C1211" s="272"/>
    </row>
    <row r="1212" spans="1:3">
      <c r="A1212" s="272"/>
      <c r="B1212" s="272"/>
      <c r="C1212" s="272"/>
    </row>
    <row r="1213" spans="1:3">
      <c r="A1213" s="272"/>
      <c r="B1213" s="272"/>
      <c r="C1213" s="272"/>
    </row>
    <row r="1214" spans="1:3">
      <c r="A1214" s="272"/>
      <c r="B1214" s="272"/>
      <c r="C1214" s="272"/>
    </row>
    <row r="1215" spans="1:3">
      <c r="A1215" s="272"/>
      <c r="B1215" s="272"/>
      <c r="C1215" s="272"/>
    </row>
    <row r="1216" spans="1:3">
      <c r="A1216" s="272"/>
      <c r="B1216" s="272"/>
      <c r="C1216" s="272"/>
    </row>
    <row r="1217" spans="1:3">
      <c r="A1217" s="272"/>
      <c r="B1217" s="272"/>
      <c r="C1217" s="272"/>
    </row>
    <row r="1218" spans="1:3">
      <c r="A1218" s="272"/>
      <c r="B1218" s="272"/>
      <c r="C1218" s="272"/>
    </row>
    <row r="1219" spans="1:3">
      <c r="A1219" s="272"/>
      <c r="B1219" s="272"/>
      <c r="C1219" s="272"/>
    </row>
    <row r="1220" spans="1:3">
      <c r="A1220" s="272"/>
      <c r="B1220" s="272"/>
      <c r="C1220" s="272"/>
    </row>
    <row r="1221" spans="1:3">
      <c r="A1221" s="272"/>
      <c r="B1221" s="272"/>
      <c r="C1221" s="272"/>
    </row>
    <row r="1222" spans="1:3">
      <c r="A1222" s="272"/>
      <c r="B1222" s="272"/>
      <c r="C1222" s="272"/>
    </row>
    <row r="1223" spans="1:3">
      <c r="A1223" s="272"/>
      <c r="B1223" s="272"/>
      <c r="C1223" s="272"/>
    </row>
    <row r="1224" spans="1:3">
      <c r="A1224" s="272"/>
      <c r="B1224" s="272"/>
      <c r="C1224" s="272"/>
    </row>
    <row r="1225" spans="1:3">
      <c r="A1225" s="272"/>
      <c r="B1225" s="272"/>
      <c r="C1225" s="272"/>
    </row>
    <row r="1226" spans="1:3">
      <c r="A1226" s="272"/>
      <c r="B1226" s="272"/>
      <c r="C1226" s="272"/>
    </row>
    <row r="1227" spans="1:3">
      <c r="A1227" s="272"/>
      <c r="B1227" s="272"/>
      <c r="C1227" s="272"/>
    </row>
    <row r="1228" spans="1:3">
      <c r="A1228" s="272"/>
      <c r="B1228" s="272"/>
      <c r="C1228" s="272"/>
    </row>
    <row r="1229" spans="1:3">
      <c r="A1229" s="272"/>
      <c r="B1229" s="272"/>
      <c r="C1229" s="272"/>
    </row>
    <row r="1230" spans="1:3">
      <c r="A1230" s="272"/>
      <c r="B1230" s="272"/>
      <c r="C1230" s="272"/>
    </row>
    <row r="1231" spans="1:3">
      <c r="A1231" s="272"/>
      <c r="B1231" s="272"/>
      <c r="C1231" s="272"/>
    </row>
    <row r="1232" spans="1:3">
      <c r="A1232" s="272"/>
      <c r="B1232" s="272"/>
      <c r="C1232" s="272"/>
    </row>
    <row r="1233" spans="1:3">
      <c r="A1233" s="272"/>
      <c r="B1233" s="272"/>
      <c r="C1233" s="272"/>
    </row>
    <row r="1234" spans="1:3">
      <c r="A1234" s="272"/>
      <c r="B1234" s="272"/>
      <c r="C1234" s="272"/>
    </row>
    <row r="1235" spans="1:3">
      <c r="A1235" s="272"/>
      <c r="B1235" s="272"/>
      <c r="C1235" s="272"/>
    </row>
    <row r="1236" spans="1:3">
      <c r="A1236" s="272"/>
      <c r="B1236" s="272"/>
      <c r="C1236" s="272"/>
    </row>
    <row r="1237" spans="1:3">
      <c r="A1237" s="272"/>
      <c r="B1237" s="272"/>
      <c r="C1237" s="272"/>
    </row>
    <row r="1238" spans="1:3">
      <c r="A1238" s="272"/>
      <c r="B1238" s="272"/>
      <c r="C1238" s="272"/>
    </row>
    <row r="1239" spans="1:3">
      <c r="A1239" s="272"/>
      <c r="B1239" s="272"/>
      <c r="C1239" s="272"/>
    </row>
    <row r="1240" spans="1:3">
      <c r="A1240" s="272"/>
      <c r="B1240" s="272"/>
      <c r="C1240" s="272"/>
    </row>
    <row r="1241" spans="1:3">
      <c r="A1241" s="272"/>
      <c r="B1241" s="272"/>
      <c r="C1241" s="272"/>
    </row>
    <row r="1242" spans="1:3">
      <c r="A1242" s="272"/>
      <c r="B1242" s="272"/>
      <c r="C1242" s="272"/>
    </row>
    <row r="1243" spans="1:3">
      <c r="A1243" s="272"/>
      <c r="B1243" s="272"/>
      <c r="C1243" s="272"/>
    </row>
    <row r="1244" spans="1:3">
      <c r="A1244" s="272"/>
      <c r="B1244" s="272"/>
      <c r="C1244" s="272"/>
    </row>
    <row r="1245" spans="1:3">
      <c r="A1245" s="272"/>
      <c r="B1245" s="272"/>
      <c r="C1245" s="272"/>
    </row>
    <row r="1246" spans="1:3">
      <c r="A1246" s="272"/>
      <c r="B1246" s="272"/>
      <c r="C1246" s="272"/>
    </row>
    <row r="1247" spans="1:3">
      <c r="A1247" s="272"/>
      <c r="B1247" s="272"/>
      <c r="C1247" s="272"/>
    </row>
    <row r="1248" spans="1:3">
      <c r="A1248" s="272"/>
      <c r="B1248" s="272"/>
      <c r="C1248" s="272"/>
    </row>
    <row r="1249" spans="1:3">
      <c r="A1249" s="272"/>
      <c r="B1249" s="272"/>
      <c r="C1249" s="272"/>
    </row>
    <row r="1250" spans="1:3">
      <c r="A1250" s="272"/>
      <c r="B1250" s="272"/>
      <c r="C1250" s="272"/>
    </row>
    <row r="1251" spans="1:3">
      <c r="A1251" s="272"/>
      <c r="B1251" s="272"/>
      <c r="C1251" s="272"/>
    </row>
    <row r="1252" spans="1:3">
      <c r="A1252" s="272"/>
      <c r="B1252" s="272"/>
      <c r="C1252" s="272"/>
    </row>
    <row r="1253" spans="1:3">
      <c r="A1253" s="272"/>
      <c r="B1253" s="272"/>
      <c r="C1253" s="272"/>
    </row>
    <row r="1254" spans="1:3">
      <c r="A1254" s="272"/>
      <c r="B1254" s="272"/>
      <c r="C1254" s="272"/>
    </row>
    <row r="1255" spans="1:3">
      <c r="A1255" s="272"/>
      <c r="B1255" s="272"/>
      <c r="C1255" s="272"/>
    </row>
    <row r="1256" spans="1:3">
      <c r="A1256" s="272"/>
      <c r="B1256" s="272"/>
      <c r="C1256" s="272"/>
    </row>
    <row r="1257" spans="1:3">
      <c r="A1257" s="272"/>
      <c r="B1257" s="272"/>
      <c r="C1257" s="272"/>
    </row>
    <row r="1258" spans="1:3">
      <c r="A1258" s="272"/>
      <c r="B1258" s="272"/>
      <c r="C1258" s="272"/>
    </row>
    <row r="1259" spans="1:3">
      <c r="A1259" s="272"/>
      <c r="B1259" s="272"/>
      <c r="C1259" s="272"/>
    </row>
    <row r="1260" spans="1:3">
      <c r="A1260" s="272"/>
      <c r="B1260" s="272"/>
      <c r="C1260" s="272"/>
    </row>
    <row r="1261" spans="1:3">
      <c r="A1261" s="272"/>
      <c r="B1261" s="272"/>
      <c r="C1261" s="272"/>
    </row>
    <row r="1262" spans="1:3">
      <c r="A1262" s="272"/>
      <c r="B1262" s="272"/>
      <c r="C1262" s="272"/>
    </row>
    <row r="1263" spans="1:3">
      <c r="A1263" s="272"/>
      <c r="B1263" s="272"/>
      <c r="C1263" s="272"/>
    </row>
    <row r="1264" spans="1:3">
      <c r="A1264" s="272"/>
      <c r="B1264" s="272"/>
      <c r="C1264" s="272"/>
    </row>
    <row r="1265" spans="1:3">
      <c r="A1265" s="272"/>
      <c r="B1265" s="272"/>
      <c r="C1265" s="272"/>
    </row>
    <row r="1266" spans="1:3">
      <c r="A1266" s="272"/>
      <c r="B1266" s="272"/>
      <c r="C1266" s="272"/>
    </row>
    <row r="1267" spans="1:3">
      <c r="A1267" s="272"/>
      <c r="B1267" s="272"/>
      <c r="C1267" s="272"/>
    </row>
    <row r="1268" spans="1:3">
      <c r="A1268" s="272"/>
      <c r="B1268" s="272"/>
      <c r="C1268" s="272"/>
    </row>
    <row r="1269" spans="1:3">
      <c r="A1269" s="272"/>
      <c r="B1269" s="272"/>
      <c r="C1269" s="272"/>
    </row>
    <row r="1270" spans="1:3">
      <c r="A1270" s="272"/>
      <c r="B1270" s="272"/>
      <c r="C1270" s="272"/>
    </row>
    <row r="1271" spans="1:3">
      <c r="A1271" s="272"/>
      <c r="B1271" s="272"/>
      <c r="C1271" s="272"/>
    </row>
    <row r="1272" spans="1:3">
      <c r="A1272" s="272"/>
      <c r="B1272" s="272"/>
      <c r="C1272" s="272"/>
    </row>
    <row r="1273" spans="1:3">
      <c r="A1273" s="272"/>
      <c r="B1273" s="272"/>
      <c r="C1273" s="272"/>
    </row>
    <row r="1274" spans="1:3">
      <c r="A1274" s="272"/>
      <c r="B1274" s="272"/>
      <c r="C1274" s="272"/>
    </row>
    <row r="1275" spans="1:3">
      <c r="A1275" s="272"/>
      <c r="B1275" s="272"/>
      <c r="C1275" s="272"/>
    </row>
    <row r="1276" spans="1:3">
      <c r="A1276" s="272"/>
      <c r="B1276" s="272"/>
      <c r="C1276" s="272"/>
    </row>
    <row r="1277" spans="1:3">
      <c r="A1277" s="272"/>
      <c r="B1277" s="272"/>
      <c r="C1277" s="272"/>
    </row>
    <row r="1278" spans="1:3">
      <c r="A1278" s="272"/>
      <c r="B1278" s="272"/>
      <c r="C1278" s="272"/>
    </row>
    <row r="1279" spans="1:3">
      <c r="A1279" s="272"/>
      <c r="B1279" s="272"/>
      <c r="C1279" s="272"/>
    </row>
    <row r="1280" spans="1:3">
      <c r="A1280" s="272"/>
      <c r="B1280" s="272"/>
      <c r="C1280" s="272"/>
    </row>
    <row r="1281" spans="1:3">
      <c r="A1281" s="272"/>
      <c r="B1281" s="272"/>
      <c r="C1281" s="272"/>
    </row>
    <row r="1282" spans="1:3">
      <c r="A1282" s="272"/>
      <c r="B1282" s="272"/>
      <c r="C1282" s="272"/>
    </row>
    <row r="1283" spans="1:3">
      <c r="A1283" s="272"/>
      <c r="B1283" s="272"/>
      <c r="C1283" s="272"/>
    </row>
    <row r="1284" spans="1:3">
      <c r="A1284" s="272"/>
      <c r="B1284" s="272"/>
      <c r="C1284" s="272"/>
    </row>
    <row r="1285" spans="1:3">
      <c r="A1285" s="272"/>
      <c r="B1285" s="272"/>
      <c r="C1285" s="272"/>
    </row>
    <row r="1286" spans="1:3">
      <c r="A1286" s="272"/>
      <c r="B1286" s="272"/>
      <c r="C1286" s="272"/>
    </row>
    <row r="1287" spans="1:3">
      <c r="A1287" s="272"/>
      <c r="B1287" s="272"/>
      <c r="C1287" s="272"/>
    </row>
    <row r="1288" spans="1:3">
      <c r="A1288" s="272"/>
      <c r="B1288" s="272"/>
      <c r="C1288" s="272"/>
    </row>
    <row r="1289" spans="1:3">
      <c r="A1289" s="272"/>
      <c r="B1289" s="272"/>
      <c r="C1289" s="272"/>
    </row>
    <row r="1290" spans="1:3">
      <c r="A1290" s="272"/>
      <c r="B1290" s="272"/>
      <c r="C1290" s="272"/>
    </row>
    <row r="1291" spans="1:3">
      <c r="A1291" s="272"/>
      <c r="B1291" s="272"/>
      <c r="C1291" s="272"/>
    </row>
    <row r="1292" spans="1:3">
      <c r="A1292" s="272"/>
      <c r="B1292" s="272"/>
      <c r="C1292" s="272"/>
    </row>
    <row r="1293" spans="1:3">
      <c r="A1293" s="272"/>
      <c r="B1293" s="272"/>
      <c r="C1293" s="272"/>
    </row>
    <row r="1294" spans="1:3">
      <c r="A1294" s="272"/>
      <c r="B1294" s="272"/>
      <c r="C1294" s="272"/>
    </row>
    <row r="1295" spans="1:3">
      <c r="A1295" s="272"/>
      <c r="B1295" s="272"/>
      <c r="C1295" s="272"/>
    </row>
    <row r="1296" spans="1:3">
      <c r="A1296" s="272"/>
      <c r="B1296" s="272"/>
      <c r="C1296" s="272"/>
    </row>
    <row r="1297" spans="1:3">
      <c r="A1297" s="272"/>
      <c r="B1297" s="272"/>
      <c r="C1297" s="272"/>
    </row>
    <row r="1298" spans="1:3">
      <c r="A1298" s="272"/>
      <c r="B1298" s="272"/>
      <c r="C1298" s="272"/>
    </row>
    <row r="1299" spans="1:3">
      <c r="A1299" s="272"/>
      <c r="B1299" s="272"/>
      <c r="C1299" s="272"/>
    </row>
    <row r="1300" spans="1:3">
      <c r="A1300" s="272"/>
      <c r="B1300" s="272"/>
      <c r="C1300" s="272"/>
    </row>
    <row r="1301" spans="1:3">
      <c r="A1301" s="272"/>
      <c r="B1301" s="272"/>
      <c r="C1301" s="272"/>
    </row>
    <row r="1302" spans="1:3">
      <c r="A1302" s="272"/>
      <c r="B1302" s="272"/>
      <c r="C1302" s="272"/>
    </row>
    <row r="1303" spans="1:3">
      <c r="A1303" s="272"/>
      <c r="B1303" s="272"/>
      <c r="C1303" s="272"/>
    </row>
    <row r="1304" spans="1:3">
      <c r="A1304" s="272"/>
      <c r="B1304" s="272"/>
      <c r="C1304" s="272"/>
    </row>
    <row r="1305" spans="1:3">
      <c r="A1305" s="272"/>
      <c r="B1305" s="272"/>
      <c r="C1305" s="272"/>
    </row>
    <row r="1306" spans="1:3">
      <c r="A1306" s="272"/>
      <c r="B1306" s="272"/>
      <c r="C1306" s="272"/>
    </row>
    <row r="1307" spans="1:3">
      <c r="A1307" s="272"/>
      <c r="B1307" s="272"/>
      <c r="C1307" s="272"/>
    </row>
    <row r="1308" spans="1:3">
      <c r="A1308" s="272"/>
      <c r="B1308" s="272"/>
      <c r="C1308" s="272"/>
    </row>
    <row r="1309" spans="1:3">
      <c r="A1309" s="272"/>
      <c r="B1309" s="272"/>
      <c r="C1309" s="272"/>
    </row>
    <row r="1310" spans="1:3">
      <c r="A1310" s="272"/>
      <c r="B1310" s="272"/>
      <c r="C1310" s="272"/>
    </row>
    <row r="1311" spans="1:3">
      <c r="A1311" s="272"/>
      <c r="B1311" s="272"/>
      <c r="C1311" s="272"/>
    </row>
    <row r="1312" spans="1:3">
      <c r="A1312" s="272"/>
      <c r="B1312" s="272"/>
      <c r="C1312" s="272"/>
    </row>
    <row r="1313" spans="1:3">
      <c r="A1313" s="272"/>
      <c r="B1313" s="272"/>
      <c r="C1313" s="272"/>
    </row>
    <row r="1314" spans="1:3">
      <c r="A1314" s="272"/>
      <c r="B1314" s="272"/>
      <c r="C1314" s="272"/>
    </row>
    <row r="1315" spans="1:3">
      <c r="A1315" s="272"/>
      <c r="B1315" s="272"/>
      <c r="C1315" s="272"/>
    </row>
    <row r="1316" spans="1:3">
      <c r="A1316" s="272"/>
      <c r="B1316" s="272"/>
      <c r="C1316" s="272"/>
    </row>
    <row r="1317" spans="1:3">
      <c r="A1317" s="272"/>
      <c r="B1317" s="272"/>
      <c r="C1317" s="272"/>
    </row>
    <row r="1318" spans="1:3">
      <c r="A1318" s="272"/>
      <c r="B1318" s="272"/>
      <c r="C1318" s="272"/>
    </row>
    <row r="1319" spans="1:3">
      <c r="A1319" s="272"/>
      <c r="B1319" s="272"/>
      <c r="C1319" s="272"/>
    </row>
    <row r="1320" spans="1:3">
      <c r="A1320" s="272"/>
      <c r="B1320" s="272"/>
      <c r="C1320" s="272"/>
    </row>
    <row r="1321" spans="1:3">
      <c r="A1321" s="272"/>
      <c r="B1321" s="272"/>
      <c r="C1321" s="272"/>
    </row>
    <row r="1322" spans="1:3">
      <c r="A1322" s="272"/>
      <c r="B1322" s="272"/>
      <c r="C1322" s="272"/>
    </row>
    <row r="1323" spans="1:3">
      <c r="A1323" s="272"/>
      <c r="B1323" s="272"/>
      <c r="C1323" s="272"/>
    </row>
    <row r="1324" spans="1:3">
      <c r="A1324" s="272"/>
      <c r="B1324" s="272"/>
      <c r="C1324" s="272"/>
    </row>
    <row r="1325" spans="1:3">
      <c r="A1325" s="272"/>
      <c r="B1325" s="272"/>
      <c r="C1325" s="272"/>
    </row>
    <row r="1326" spans="1:3">
      <c r="A1326" s="272"/>
      <c r="B1326" s="272"/>
      <c r="C1326" s="272"/>
    </row>
    <row r="1327" spans="1:3">
      <c r="A1327" s="272"/>
      <c r="B1327" s="272"/>
      <c r="C1327" s="272"/>
    </row>
    <row r="1328" spans="1:3">
      <c r="A1328" s="272"/>
      <c r="B1328" s="272"/>
      <c r="C1328" s="272"/>
    </row>
    <row r="1329" spans="1:3">
      <c r="A1329" s="272"/>
      <c r="B1329" s="272"/>
      <c r="C1329" s="272"/>
    </row>
    <row r="1330" spans="1:3">
      <c r="A1330" s="272"/>
      <c r="B1330" s="272"/>
      <c r="C1330" s="272"/>
    </row>
    <row r="1331" spans="1:3">
      <c r="A1331" s="272"/>
      <c r="B1331" s="272"/>
      <c r="C1331" s="272"/>
    </row>
    <row r="1332" spans="1:3">
      <c r="A1332" s="272"/>
      <c r="B1332" s="272"/>
      <c r="C1332" s="272"/>
    </row>
    <row r="1333" spans="1:3">
      <c r="A1333" s="272"/>
      <c r="B1333" s="272"/>
      <c r="C1333" s="272"/>
    </row>
    <row r="1334" spans="1:3">
      <c r="A1334" s="272"/>
      <c r="B1334" s="272"/>
      <c r="C1334" s="272"/>
    </row>
    <row r="1335" spans="1:3">
      <c r="A1335" s="272"/>
      <c r="B1335" s="272"/>
      <c r="C1335" s="272"/>
    </row>
    <row r="1336" spans="1:3">
      <c r="A1336" s="272"/>
      <c r="B1336" s="272"/>
      <c r="C1336" s="272"/>
    </row>
    <row r="1337" spans="1:3">
      <c r="A1337" s="272"/>
      <c r="B1337" s="272"/>
      <c r="C1337" s="272"/>
    </row>
    <row r="1338" spans="1:3">
      <c r="A1338" s="272"/>
      <c r="B1338" s="272"/>
      <c r="C1338" s="272"/>
    </row>
    <row r="1339" spans="1:3">
      <c r="A1339" s="272"/>
      <c r="B1339" s="272"/>
      <c r="C1339" s="272"/>
    </row>
    <row r="1340" spans="1:3">
      <c r="A1340" s="272"/>
      <c r="B1340" s="272"/>
      <c r="C1340" s="272"/>
    </row>
    <row r="1341" spans="1:3">
      <c r="A1341" s="272"/>
      <c r="B1341" s="272"/>
      <c r="C1341" s="272"/>
    </row>
    <row r="1342" spans="1:3">
      <c r="A1342" s="272"/>
      <c r="B1342" s="272"/>
      <c r="C1342" s="272"/>
    </row>
    <row r="1343" spans="1:3">
      <c r="A1343" s="272"/>
      <c r="B1343" s="272"/>
      <c r="C1343" s="272"/>
    </row>
    <row r="1344" spans="1:3">
      <c r="A1344" s="272"/>
      <c r="B1344" s="272"/>
      <c r="C1344" s="272"/>
    </row>
    <row r="1345" spans="1:3">
      <c r="A1345" s="272"/>
      <c r="B1345" s="272"/>
      <c r="C1345" s="272"/>
    </row>
    <row r="1346" spans="1:3">
      <c r="A1346" s="272"/>
      <c r="B1346" s="272"/>
      <c r="C1346" s="272"/>
    </row>
    <row r="1347" spans="1:3">
      <c r="A1347" s="272"/>
      <c r="B1347" s="272"/>
      <c r="C1347" s="272"/>
    </row>
    <row r="1348" spans="1:3">
      <c r="A1348" s="272"/>
      <c r="B1348" s="272"/>
      <c r="C1348" s="272"/>
    </row>
    <row r="1349" spans="1:3">
      <c r="A1349" s="272"/>
      <c r="B1349" s="272"/>
      <c r="C1349" s="272"/>
    </row>
    <row r="1350" spans="1:3">
      <c r="A1350" s="272"/>
      <c r="B1350" s="272"/>
      <c r="C1350" s="272"/>
    </row>
    <row r="1351" spans="1:3">
      <c r="A1351" s="272"/>
      <c r="B1351" s="272"/>
      <c r="C1351" s="272"/>
    </row>
    <row r="1352" spans="1:3">
      <c r="A1352" s="272"/>
      <c r="B1352" s="272"/>
      <c r="C1352" s="272"/>
    </row>
    <row r="1353" spans="1:3">
      <c r="A1353" s="272"/>
      <c r="B1353" s="272"/>
      <c r="C1353" s="272"/>
    </row>
    <row r="1354" spans="1:3">
      <c r="A1354" s="272"/>
      <c r="B1354" s="272"/>
      <c r="C1354" s="272"/>
    </row>
    <row r="1355" spans="1:3">
      <c r="A1355" s="272"/>
      <c r="B1355" s="272"/>
      <c r="C1355" s="272"/>
    </row>
    <row r="1356" spans="1:3">
      <c r="A1356" s="272"/>
      <c r="B1356" s="272"/>
      <c r="C1356" s="272"/>
    </row>
    <row r="1357" spans="1:3">
      <c r="A1357" s="272"/>
      <c r="B1357" s="272"/>
      <c r="C1357" s="272"/>
    </row>
    <row r="1358" spans="1:3">
      <c r="A1358" s="272"/>
      <c r="B1358" s="272"/>
      <c r="C1358" s="272"/>
    </row>
    <row r="1359" spans="1:3">
      <c r="A1359" s="272"/>
      <c r="B1359" s="272"/>
      <c r="C1359" s="272"/>
    </row>
    <row r="1360" spans="1:3">
      <c r="A1360" s="272"/>
      <c r="B1360" s="272"/>
      <c r="C1360" s="272"/>
    </row>
    <row r="1361" spans="1:3">
      <c r="A1361" s="272"/>
      <c r="B1361" s="272"/>
      <c r="C1361" s="272"/>
    </row>
    <row r="1362" spans="1:3">
      <c r="A1362" s="272"/>
      <c r="B1362" s="272"/>
      <c r="C1362" s="272"/>
    </row>
    <row r="1363" spans="1:3">
      <c r="A1363" s="272"/>
      <c r="B1363" s="272"/>
      <c r="C1363" s="272"/>
    </row>
    <row r="1364" spans="1:3">
      <c r="A1364" s="272"/>
      <c r="B1364" s="272"/>
      <c r="C1364" s="272"/>
    </row>
    <row r="1365" spans="1:3">
      <c r="A1365" s="272"/>
      <c r="B1365" s="272"/>
      <c r="C1365" s="272"/>
    </row>
    <row r="1366" spans="1:3">
      <c r="A1366" s="272"/>
      <c r="B1366" s="272"/>
      <c r="C1366" s="272"/>
    </row>
    <row r="1367" spans="1:3">
      <c r="A1367" s="272"/>
      <c r="B1367" s="272"/>
      <c r="C1367" s="272"/>
    </row>
    <row r="1368" spans="1:3">
      <c r="A1368" s="272"/>
      <c r="B1368" s="272"/>
      <c r="C1368" s="272"/>
    </row>
    <row r="1369" spans="1:3">
      <c r="A1369" s="272"/>
      <c r="B1369" s="272"/>
      <c r="C1369" s="272"/>
    </row>
    <row r="1370" spans="1:3">
      <c r="A1370" s="272"/>
      <c r="B1370" s="272"/>
      <c r="C1370" s="272"/>
    </row>
    <row r="1371" spans="1:3">
      <c r="A1371" s="272"/>
      <c r="B1371" s="272"/>
      <c r="C1371" s="272"/>
    </row>
    <row r="1372" spans="1:3">
      <c r="A1372" s="272"/>
      <c r="B1372" s="272"/>
      <c r="C1372" s="272"/>
    </row>
    <row r="1373" spans="1:3">
      <c r="A1373" s="272"/>
      <c r="B1373" s="272"/>
      <c r="C1373" s="272"/>
    </row>
    <row r="1374" spans="1:3">
      <c r="A1374" s="272"/>
      <c r="B1374" s="272"/>
      <c r="C1374" s="272"/>
    </row>
    <row r="1375" spans="1:3">
      <c r="A1375" s="272"/>
      <c r="B1375" s="272"/>
      <c r="C1375" s="272"/>
    </row>
    <row r="1376" spans="1:3">
      <c r="A1376" s="272"/>
      <c r="B1376" s="272"/>
      <c r="C1376" s="272"/>
    </row>
    <row r="1377" spans="1:3">
      <c r="A1377" s="272"/>
      <c r="B1377" s="272"/>
      <c r="C1377" s="272"/>
    </row>
    <row r="1378" spans="1:3">
      <c r="A1378" s="272"/>
      <c r="B1378" s="272"/>
      <c r="C1378" s="272"/>
    </row>
    <row r="1379" spans="1:3">
      <c r="A1379" s="272"/>
      <c r="B1379" s="272"/>
      <c r="C1379" s="272"/>
    </row>
    <row r="1380" spans="1:3">
      <c r="A1380" s="272"/>
      <c r="B1380" s="272"/>
      <c r="C1380" s="272"/>
    </row>
    <row r="1381" spans="1:3">
      <c r="A1381" s="272"/>
      <c r="B1381" s="272"/>
      <c r="C1381" s="272"/>
    </row>
    <row r="1382" spans="1:3">
      <c r="A1382" s="272"/>
      <c r="B1382" s="272"/>
      <c r="C1382" s="272"/>
    </row>
    <row r="1383" spans="1:3">
      <c r="A1383" s="272"/>
      <c r="B1383" s="272"/>
      <c r="C1383" s="272"/>
    </row>
    <row r="1384" spans="1:3">
      <c r="A1384" s="272"/>
      <c r="B1384" s="272"/>
      <c r="C1384" s="272"/>
    </row>
    <row r="1385" spans="1:3">
      <c r="A1385" s="272"/>
      <c r="B1385" s="272"/>
      <c r="C1385" s="272"/>
    </row>
    <row r="1386" spans="1:3">
      <c r="A1386" s="272"/>
      <c r="B1386" s="272"/>
      <c r="C1386" s="272"/>
    </row>
    <row r="1387" spans="1:3">
      <c r="A1387" s="272"/>
      <c r="B1387" s="272"/>
      <c r="C1387" s="272"/>
    </row>
    <row r="1388" spans="1:3">
      <c r="A1388" s="272"/>
      <c r="B1388" s="272"/>
      <c r="C1388" s="272"/>
    </row>
    <row r="1389" spans="1:3">
      <c r="A1389" s="272"/>
      <c r="B1389" s="272"/>
      <c r="C1389" s="272"/>
    </row>
    <row r="1390" spans="1:3">
      <c r="A1390" s="272"/>
      <c r="B1390" s="272"/>
      <c r="C1390" s="272"/>
    </row>
    <row r="1391" spans="1:3">
      <c r="A1391" s="272"/>
      <c r="B1391" s="272"/>
      <c r="C1391" s="272"/>
    </row>
    <row r="1392" spans="1:3">
      <c r="A1392" s="272"/>
      <c r="B1392" s="272"/>
      <c r="C1392" s="272"/>
    </row>
    <row r="1393" spans="1:3"/>
    <row r="1394" spans="1:3"/>
    <row r="1395" spans="1:3">
      <c r="A1395" s="272"/>
      <c r="B1395" s="272"/>
      <c r="C1395" s="272"/>
    </row>
    <row r="1396" spans="1:3">
      <c r="A1396" s="272"/>
      <c r="B1396" s="272"/>
      <c r="C1396" s="272"/>
    </row>
    <row r="1397" spans="1:3">
      <c r="A1397" s="272"/>
      <c r="B1397" s="272"/>
      <c r="C1397" s="272"/>
    </row>
    <row r="1398" spans="1:3">
      <c r="A1398" s="272"/>
      <c r="B1398" s="272"/>
      <c r="C1398" s="272"/>
    </row>
    <row r="1399" spans="1:3">
      <c r="A1399" s="272"/>
      <c r="B1399" s="272"/>
      <c r="C1399" s="272"/>
    </row>
    <row r="1400" spans="1:3">
      <c r="A1400" s="272"/>
      <c r="B1400" s="272"/>
      <c r="C1400" s="272"/>
    </row>
    <row r="1401" spans="1:3">
      <c r="A1401" s="272"/>
      <c r="B1401" s="272"/>
      <c r="C1401" s="272"/>
    </row>
    <row r="1402" spans="1:3">
      <c r="A1402" s="272"/>
      <c r="B1402" s="272"/>
      <c r="C1402" s="272"/>
    </row>
    <row r="1403" spans="1:3">
      <c r="A1403" s="272"/>
      <c r="B1403" s="272"/>
      <c r="C1403" s="272"/>
    </row>
    <row r="1404" spans="1:3">
      <c r="A1404" s="272"/>
      <c r="B1404" s="272"/>
      <c r="C1404" s="272"/>
    </row>
    <row r="1405" spans="1:3">
      <c r="A1405" s="272"/>
      <c r="B1405" s="272"/>
      <c r="C1405" s="272"/>
    </row>
    <row r="1406" spans="1:3">
      <c r="A1406" s="272"/>
      <c r="B1406" s="272"/>
      <c r="C1406" s="272"/>
    </row>
    <row r="1407" spans="1:3">
      <c r="A1407" s="272"/>
      <c r="B1407" s="272"/>
      <c r="C1407" s="272"/>
    </row>
    <row r="1408" spans="1:3">
      <c r="A1408" s="272"/>
      <c r="B1408" s="272"/>
      <c r="C1408" s="272"/>
    </row>
    <row r="1409" spans="1:3">
      <c r="A1409" s="272"/>
      <c r="B1409" s="272"/>
      <c r="C1409" s="272"/>
    </row>
    <row r="1410" spans="1:3">
      <c r="A1410" s="272"/>
      <c r="B1410" s="272"/>
      <c r="C1410" s="272"/>
    </row>
    <row r="1411" spans="1:3">
      <c r="A1411" s="272"/>
      <c r="B1411" s="272"/>
      <c r="C1411" s="272"/>
    </row>
    <row r="1412" spans="1:3">
      <c r="A1412" s="272"/>
      <c r="B1412" s="272"/>
      <c r="C1412" s="272"/>
    </row>
    <row r="1413" spans="1:3">
      <c r="A1413" s="272"/>
      <c r="B1413" s="272"/>
      <c r="C1413" s="272"/>
    </row>
    <row r="1414" spans="1:3">
      <c r="A1414" s="272"/>
      <c r="B1414" s="272"/>
      <c r="C1414" s="272"/>
    </row>
    <row r="1415" spans="1:3">
      <c r="A1415" s="272"/>
      <c r="B1415" s="272"/>
      <c r="C1415" s="272"/>
    </row>
    <row r="1416" spans="1:3">
      <c r="A1416" s="272"/>
      <c r="B1416" s="272"/>
      <c r="C1416" s="272"/>
    </row>
    <row r="1417" spans="1:3">
      <c r="A1417" s="272"/>
      <c r="B1417" s="272"/>
      <c r="C1417" s="272"/>
    </row>
    <row r="1418" spans="1:3">
      <c r="A1418" s="272"/>
      <c r="B1418" s="272"/>
      <c r="C1418" s="272"/>
    </row>
    <row r="1419" spans="1:3">
      <c r="A1419" s="272"/>
      <c r="B1419" s="272"/>
      <c r="C1419" s="272"/>
    </row>
    <row r="1420" spans="1:3">
      <c r="A1420" s="272"/>
      <c r="B1420" s="272"/>
      <c r="C1420" s="272"/>
    </row>
    <row r="1421" spans="1:3">
      <c r="A1421" s="272"/>
      <c r="B1421" s="272"/>
      <c r="C1421" s="272"/>
    </row>
    <row r="1422" spans="1:3">
      <c r="A1422" s="272"/>
      <c r="B1422" s="272"/>
      <c r="C1422" s="272"/>
    </row>
    <row r="1423" spans="1:3">
      <c r="A1423" s="272"/>
      <c r="B1423" s="272"/>
      <c r="C1423" s="272"/>
    </row>
    <row r="1424" spans="1:3">
      <c r="A1424" s="272"/>
      <c r="B1424" s="272"/>
      <c r="C1424" s="272"/>
    </row>
    <row r="1425" spans="1:3">
      <c r="A1425" s="272"/>
      <c r="B1425" s="272"/>
      <c r="C1425" s="272"/>
    </row>
    <row r="1426" spans="1:3">
      <c r="A1426" s="272"/>
      <c r="B1426" s="272"/>
      <c r="C1426" s="272"/>
    </row>
    <row r="1427" spans="1:3">
      <c r="A1427" s="272"/>
      <c r="B1427" s="272"/>
      <c r="C1427" s="272"/>
    </row>
    <row r="1428" spans="1:3">
      <c r="A1428" s="272"/>
      <c r="B1428" s="272"/>
      <c r="C1428" s="272"/>
    </row>
    <row r="1429" spans="1:3">
      <c r="A1429" s="272"/>
      <c r="B1429" s="272"/>
      <c r="C1429" s="272"/>
    </row>
    <row r="1430" spans="1:3">
      <c r="A1430" s="272"/>
      <c r="B1430" s="272"/>
      <c r="C1430" s="272"/>
    </row>
    <row r="1431" spans="1:3">
      <c r="A1431" s="272"/>
      <c r="B1431" s="272"/>
      <c r="C1431" s="272"/>
    </row>
    <row r="1432" spans="1:3">
      <c r="A1432" s="272"/>
      <c r="B1432" s="272"/>
      <c r="C1432" s="272"/>
    </row>
    <row r="1433" spans="1:3">
      <c r="A1433" s="272"/>
      <c r="B1433" s="272"/>
      <c r="C1433" s="272"/>
    </row>
    <row r="1434" spans="1:3">
      <c r="A1434" s="272"/>
      <c r="B1434" s="272"/>
      <c r="C1434" s="272"/>
    </row>
    <row r="1435" spans="1:3">
      <c r="A1435" s="272"/>
      <c r="B1435" s="272"/>
      <c r="C1435" s="272"/>
    </row>
    <row r="1436" spans="1:3">
      <c r="A1436" s="272"/>
      <c r="B1436" s="272"/>
      <c r="C1436" s="272"/>
    </row>
    <row r="1437" spans="1:3">
      <c r="A1437" s="272"/>
      <c r="B1437" s="272"/>
      <c r="C1437" s="272"/>
    </row>
    <row r="1438" spans="1:3">
      <c r="A1438" s="272"/>
      <c r="B1438" s="272"/>
      <c r="C1438" s="272"/>
    </row>
    <row r="1439" spans="1:3">
      <c r="A1439" s="272"/>
      <c r="B1439" s="272"/>
      <c r="C1439" s="272"/>
    </row>
    <row r="1440" spans="1:3">
      <c r="A1440" s="272"/>
      <c r="B1440" s="272"/>
      <c r="C1440" s="272"/>
    </row>
    <row r="1441" spans="1:3">
      <c r="A1441" s="272"/>
      <c r="B1441" s="272"/>
      <c r="C1441" s="272"/>
    </row>
    <row r="1442" spans="1:3">
      <c r="A1442" s="272"/>
      <c r="B1442" s="272"/>
      <c r="C1442" s="272"/>
    </row>
    <row r="1443" spans="1:3">
      <c r="A1443" s="272"/>
      <c r="B1443" s="272"/>
      <c r="C1443" s="272"/>
    </row>
    <row r="1444" spans="1:3">
      <c r="A1444" s="272"/>
      <c r="B1444" s="272"/>
      <c r="C1444" s="272"/>
    </row>
    <row r="1445" spans="1:3">
      <c r="A1445" s="272"/>
      <c r="B1445" s="272"/>
      <c r="C1445" s="272"/>
    </row>
    <row r="1446" spans="1:3">
      <c r="A1446" s="272"/>
      <c r="B1446" s="272"/>
      <c r="C1446" s="272"/>
    </row>
    <row r="1447" spans="1:3">
      <c r="A1447" s="272"/>
      <c r="B1447" s="272"/>
      <c r="C1447" s="272"/>
    </row>
    <row r="1448" spans="1:3">
      <c r="A1448" s="272"/>
      <c r="B1448" s="272"/>
      <c r="C1448" s="272"/>
    </row>
    <row r="1449" spans="1:3">
      <c r="A1449" s="272"/>
      <c r="B1449" s="272"/>
      <c r="C1449" s="272"/>
    </row>
    <row r="1450" spans="1:3">
      <c r="A1450" s="272"/>
      <c r="B1450" s="272"/>
      <c r="C1450" s="272"/>
    </row>
    <row r="1451" spans="1:3">
      <c r="A1451" s="272"/>
      <c r="B1451" s="272"/>
      <c r="C1451" s="272"/>
    </row>
    <row r="1452" spans="1:3">
      <c r="A1452" s="272"/>
      <c r="B1452" s="272"/>
      <c r="C1452" s="272"/>
    </row>
    <row r="1453" spans="1:3">
      <c r="A1453" s="272"/>
      <c r="B1453" s="272"/>
      <c r="C1453" s="272"/>
    </row>
    <row r="1454" spans="1:3">
      <c r="A1454" s="272"/>
      <c r="B1454" s="272"/>
      <c r="C1454" s="272"/>
    </row>
    <row r="1455" spans="1:3">
      <c r="A1455" s="272"/>
      <c r="B1455" s="272"/>
      <c r="C1455" s="272"/>
    </row>
    <row r="1456" spans="1:3">
      <c r="A1456" s="272"/>
      <c r="B1456" s="272"/>
      <c r="C1456" s="272"/>
    </row>
    <row r="1457" spans="1:3">
      <c r="A1457" s="272"/>
      <c r="B1457" s="272"/>
      <c r="C1457" s="272"/>
    </row>
    <row r="1458" spans="1:3">
      <c r="A1458" s="272"/>
      <c r="B1458" s="272"/>
      <c r="C1458" s="272"/>
    </row>
    <row r="1459" spans="1:3">
      <c r="A1459" s="272"/>
      <c r="B1459" s="272"/>
      <c r="C1459" s="272"/>
    </row>
    <row r="1460" spans="1:3">
      <c r="A1460" s="272"/>
      <c r="B1460" s="272"/>
      <c r="C1460" s="272"/>
    </row>
    <row r="1461" spans="1:3">
      <c r="A1461" s="272"/>
      <c r="B1461" s="272"/>
      <c r="C1461" s="272"/>
    </row>
    <row r="1462" spans="1:3">
      <c r="A1462" s="272"/>
      <c r="B1462" s="272"/>
      <c r="C1462" s="272"/>
    </row>
    <row r="1463" spans="1:3">
      <c r="A1463" s="272"/>
      <c r="B1463" s="272"/>
      <c r="C1463" s="272"/>
    </row>
    <row r="1464" spans="1:3">
      <c r="A1464" s="272"/>
      <c r="B1464" s="272"/>
      <c r="C1464" s="272"/>
    </row>
    <row r="1465" spans="1:3">
      <c r="A1465" s="272"/>
      <c r="B1465" s="272"/>
      <c r="C1465" s="272"/>
    </row>
    <row r="1466" spans="1:3">
      <c r="A1466" s="272"/>
      <c r="B1466" s="272"/>
      <c r="C1466" s="272"/>
    </row>
    <row r="1467" spans="1:3">
      <c r="A1467" s="272"/>
      <c r="B1467" s="272"/>
      <c r="C1467" s="272"/>
    </row>
    <row r="1468" spans="1:3">
      <c r="A1468" s="272"/>
      <c r="B1468" s="272"/>
      <c r="C1468" s="272"/>
    </row>
    <row r="1469" spans="1:3">
      <c r="A1469" s="272"/>
      <c r="B1469" s="272"/>
      <c r="C1469" s="272"/>
    </row>
    <row r="1470" spans="1:3">
      <c r="A1470" s="272"/>
      <c r="B1470" s="272"/>
      <c r="C1470" s="272"/>
    </row>
    <row r="1471" spans="1:3">
      <c r="A1471" s="272"/>
      <c r="B1471" s="272"/>
      <c r="C1471" s="272"/>
    </row>
    <row r="1472" spans="1:3">
      <c r="A1472" s="272"/>
      <c r="B1472" s="272"/>
      <c r="C1472" s="272"/>
    </row>
    <row r="1473" spans="1:3">
      <c r="A1473" s="272"/>
      <c r="B1473" s="272"/>
      <c r="C1473" s="272"/>
    </row>
    <row r="1474" spans="1:3">
      <c r="A1474" s="272"/>
      <c r="B1474" s="272"/>
      <c r="C1474" s="272"/>
    </row>
    <row r="1475" spans="1:3">
      <c r="A1475" s="272"/>
      <c r="B1475" s="272"/>
      <c r="C1475" s="272"/>
    </row>
    <row r="1476" spans="1:3">
      <c r="A1476" s="272"/>
      <c r="B1476" s="272"/>
      <c r="C1476" s="272"/>
    </row>
    <row r="1477" spans="1:3">
      <c r="A1477" s="272"/>
      <c r="B1477" s="272"/>
      <c r="C1477" s="272"/>
    </row>
    <row r="1478" spans="1:3">
      <c r="A1478" s="272"/>
      <c r="B1478" s="272"/>
      <c r="C1478" s="272"/>
    </row>
    <row r="1479" spans="1:3">
      <c r="A1479" s="272"/>
      <c r="B1479" s="272"/>
      <c r="C1479" s="272"/>
    </row>
    <row r="1480" spans="1:3">
      <c r="A1480" s="272"/>
      <c r="B1480" s="272"/>
      <c r="C1480" s="272"/>
    </row>
    <row r="1481" spans="1:3">
      <c r="A1481" s="272"/>
      <c r="B1481" s="272"/>
      <c r="C1481" s="272"/>
    </row>
    <row r="1482" spans="1:3">
      <c r="A1482" s="272"/>
      <c r="B1482" s="272"/>
      <c r="C1482" s="272"/>
    </row>
    <row r="1483" spans="1:3">
      <c r="A1483" s="272"/>
      <c r="B1483" s="272"/>
      <c r="C1483" s="272"/>
    </row>
    <row r="1484" spans="1:3">
      <c r="A1484" s="272"/>
      <c r="B1484" s="272"/>
      <c r="C1484" s="272"/>
    </row>
    <row r="1485" spans="1:3">
      <c r="A1485" s="272"/>
      <c r="B1485" s="272"/>
      <c r="C1485" s="272"/>
    </row>
    <row r="1486" spans="1:3">
      <c r="A1486" s="272"/>
      <c r="B1486" s="272"/>
      <c r="C1486" s="272"/>
    </row>
    <row r="1487" spans="1:3">
      <c r="A1487" s="272"/>
      <c r="B1487" s="272"/>
      <c r="C1487" s="272"/>
    </row>
    <row r="1488" spans="1:3">
      <c r="A1488" s="272"/>
      <c r="B1488" s="272"/>
      <c r="C1488" s="272"/>
    </row>
    <row r="1489" spans="1:3">
      <c r="A1489" s="272"/>
      <c r="B1489" s="272"/>
      <c r="C1489" s="272"/>
    </row>
    <row r="1490" spans="1:3">
      <c r="A1490" s="272"/>
      <c r="B1490" s="272"/>
      <c r="C1490" s="272"/>
    </row>
    <row r="1491" spans="1:3">
      <c r="A1491" s="272"/>
      <c r="B1491" s="272"/>
      <c r="C1491" s="272"/>
    </row>
    <row r="1492" spans="1:3">
      <c r="A1492" s="272"/>
      <c r="B1492" s="272"/>
      <c r="C1492" s="272"/>
    </row>
    <row r="1493" spans="1:3">
      <c r="A1493" s="272"/>
      <c r="B1493" s="272"/>
      <c r="C1493" s="272"/>
    </row>
    <row r="1494" spans="1:3">
      <c r="A1494" s="272"/>
      <c r="B1494" s="272"/>
      <c r="C1494" s="272"/>
    </row>
    <row r="1495" spans="1:3">
      <c r="A1495" s="272"/>
      <c r="B1495" s="272"/>
      <c r="C1495" s="272"/>
    </row>
    <row r="1496" spans="1:3">
      <c r="A1496" s="272"/>
      <c r="B1496" s="272"/>
      <c r="C1496" s="272"/>
    </row>
    <row r="1497" spans="1:3">
      <c r="A1497" s="272"/>
      <c r="B1497" s="272"/>
      <c r="C1497" s="272"/>
    </row>
    <row r="1498" spans="1:3">
      <c r="A1498" s="272"/>
      <c r="B1498" s="272"/>
      <c r="C1498" s="272"/>
    </row>
    <row r="1499" spans="1:3">
      <c r="A1499" s="272"/>
      <c r="B1499" s="272"/>
      <c r="C1499" s="272"/>
    </row>
    <row r="1500" spans="1:3">
      <c r="A1500" s="272"/>
      <c r="B1500" s="272"/>
      <c r="C1500" s="272"/>
    </row>
    <row r="1501" spans="1:3">
      <c r="A1501" s="272"/>
      <c r="B1501" s="272"/>
      <c r="C1501" s="272"/>
    </row>
    <row r="1502" spans="1:3">
      <c r="A1502" s="272"/>
      <c r="B1502" s="272"/>
      <c r="C1502" s="272"/>
    </row>
    <row r="1503" spans="1:3">
      <c r="A1503" s="272"/>
      <c r="B1503" s="272"/>
      <c r="C1503" s="272"/>
    </row>
    <row r="1504" spans="1:3">
      <c r="A1504" s="272"/>
      <c r="B1504" s="272"/>
      <c r="C1504" s="272"/>
    </row>
    <row r="1505" spans="1:3">
      <c r="A1505" s="272"/>
      <c r="B1505" s="272"/>
      <c r="C1505" s="272"/>
    </row>
    <row r="1506" spans="1:3">
      <c r="A1506" s="272"/>
      <c r="B1506" s="272"/>
      <c r="C1506" s="272"/>
    </row>
    <row r="1507" spans="1:3">
      <c r="A1507" s="272"/>
      <c r="B1507" s="272"/>
      <c r="C1507" s="272"/>
    </row>
    <row r="1508" spans="1:3">
      <c r="A1508" s="272"/>
      <c r="B1508" s="272"/>
      <c r="C1508" s="272"/>
    </row>
    <row r="1509" spans="1:3">
      <c r="A1509" s="272"/>
      <c r="B1509" s="272"/>
      <c r="C1509" s="272"/>
    </row>
    <row r="1510" spans="1:3">
      <c r="A1510" s="272"/>
      <c r="B1510" s="272"/>
      <c r="C1510" s="272"/>
    </row>
    <row r="1511" spans="1:3">
      <c r="A1511" s="272"/>
      <c r="B1511" s="272"/>
      <c r="C1511" s="272"/>
    </row>
    <row r="1512" spans="1:3">
      <c r="A1512" s="272"/>
      <c r="B1512" s="272"/>
      <c r="C1512" s="272"/>
    </row>
    <row r="1513" spans="1:3">
      <c r="A1513" s="272"/>
      <c r="B1513" s="272"/>
      <c r="C1513" s="272"/>
    </row>
    <row r="1514" spans="1:3">
      <c r="A1514" s="272"/>
      <c r="B1514" s="272"/>
      <c r="C1514" s="272"/>
    </row>
    <row r="1515" spans="1:3">
      <c r="A1515" s="272"/>
      <c r="B1515" s="272"/>
      <c r="C1515" s="272"/>
    </row>
    <row r="1516" spans="1:3">
      <c r="A1516" s="272"/>
      <c r="B1516" s="272"/>
      <c r="C1516" s="272"/>
    </row>
    <row r="1517" spans="1:3">
      <c r="A1517" s="272"/>
      <c r="B1517" s="272"/>
      <c r="C1517" s="272"/>
    </row>
    <row r="1518" spans="1:3">
      <c r="A1518" s="272"/>
      <c r="B1518" s="272"/>
      <c r="C1518" s="272"/>
    </row>
    <row r="1519" spans="1:3">
      <c r="A1519" s="272"/>
      <c r="B1519" s="272"/>
      <c r="C1519" s="272"/>
    </row>
    <row r="1520" spans="1:3">
      <c r="A1520" s="272"/>
      <c r="B1520" s="272"/>
      <c r="C1520" s="272"/>
    </row>
    <row r="1521" spans="1:3">
      <c r="A1521" s="272"/>
      <c r="B1521" s="272"/>
      <c r="C1521" s="272"/>
    </row>
    <row r="1522" spans="1:3">
      <c r="A1522" s="272"/>
      <c r="B1522" s="272"/>
      <c r="C1522" s="272"/>
    </row>
    <row r="1523" spans="1:3">
      <c r="A1523" s="272"/>
      <c r="B1523" s="272"/>
      <c r="C1523" s="272"/>
    </row>
    <row r="1524" spans="1:3">
      <c r="A1524" s="272"/>
      <c r="B1524" s="272"/>
      <c r="C1524" s="272"/>
    </row>
    <row r="1525" spans="1:3">
      <c r="A1525" s="272"/>
      <c r="B1525" s="272"/>
      <c r="C1525" s="272"/>
    </row>
    <row r="1526" spans="1:3">
      <c r="A1526" s="272"/>
      <c r="B1526" s="272"/>
      <c r="C1526" s="272"/>
    </row>
    <row r="1527" spans="1:3">
      <c r="A1527" s="272"/>
      <c r="B1527" s="272"/>
      <c r="C1527" s="272"/>
    </row>
    <row r="1528" spans="1:3">
      <c r="A1528" s="272"/>
      <c r="B1528" s="272"/>
      <c r="C1528" s="272"/>
    </row>
    <row r="1529" spans="1:3">
      <c r="A1529" s="272"/>
      <c r="B1529" s="272"/>
      <c r="C1529" s="272"/>
    </row>
    <row r="1530" spans="1:3">
      <c r="A1530" s="272"/>
      <c r="B1530" s="272"/>
      <c r="C1530" s="272"/>
    </row>
    <row r="1531" spans="1:3">
      <c r="A1531" s="272"/>
      <c r="B1531" s="272"/>
      <c r="C1531" s="272"/>
    </row>
    <row r="1532" spans="1:3">
      <c r="A1532" s="272"/>
      <c r="B1532" s="272"/>
      <c r="C1532" s="272"/>
    </row>
    <row r="1533" spans="1:3">
      <c r="A1533" s="272"/>
      <c r="B1533" s="272"/>
      <c r="C1533" s="272"/>
    </row>
    <row r="1534" spans="1:3">
      <c r="A1534" s="272"/>
      <c r="B1534" s="272"/>
      <c r="C1534" s="272"/>
    </row>
    <row r="1535" spans="1:3">
      <c r="A1535" s="272"/>
      <c r="B1535" s="272"/>
      <c r="C1535" s="272"/>
    </row>
    <row r="1536" spans="1:3">
      <c r="A1536" s="272"/>
      <c r="B1536" s="272"/>
      <c r="C1536" s="272"/>
    </row>
    <row r="1537" spans="1:9">
      <c r="A1537" s="272"/>
      <c r="B1537" s="272"/>
      <c r="C1537" s="272"/>
    </row>
    <row r="1538" spans="1:9"/>
    <row r="1539" spans="1:9"/>
    <row r="1540" spans="1:9"/>
    <row r="1541" spans="1:9">
      <c r="G1541" s="1252"/>
      <c r="H1541" s="1252"/>
      <c r="I1541" s="125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3" zoomScale="80" zoomScaleNormal="80" workbookViewId="0">
      <selection activeCell="AT703" sqref="AT703"/>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59"/>
      <c r="AS1" s="818">
        <v>4</v>
      </c>
      <c r="BD1" s="2" t="s">
        <v>642</v>
      </c>
      <c r="BE1" s="2"/>
      <c r="BF1" s="2"/>
    </row>
    <row r="2" spans="1:58" ht="13" customHeight="1">
      <c r="BD2" s="2" t="s">
        <v>643</v>
      </c>
      <c r="BE2" s="2" t="s">
        <v>644</v>
      </c>
      <c r="BF2" s="2" t="s">
        <v>645</v>
      </c>
    </row>
    <row r="3" spans="1:58" ht="13" customHeight="1">
      <c r="BD3" s="2" t="s">
        <v>646</v>
      </c>
      <c r="BE3" t="str">
        <f>AC220</f>
        <v xml:space="preserve">Coastal (Monterey, Napa, Orange, San Benito, San Diego, San Luis Obispo, Santa Barbara, Sonoma, and Ventura Counties) </v>
      </c>
    </row>
    <row r="4" spans="1:58" ht="13" customHeight="1">
      <c r="BD4" s="2" t="s">
        <v>647</v>
      </c>
      <c r="BE4" s="1024"/>
    </row>
    <row r="5" spans="1:58" ht="13" customHeight="1">
      <c r="BD5" s="2" t="s">
        <v>648</v>
      </c>
      <c r="BE5">
        <f>SUMIF($AC$718:$AC$752,"&lt;=20%",$G$718:G$752)</f>
        <v>0</v>
      </c>
      <c r="BF5" s="2" t="s">
        <v>649</v>
      </c>
    </row>
    <row r="6" spans="1:58" ht="13" customHeight="1">
      <c r="BD6" s="2" t="s">
        <v>650</v>
      </c>
      <c r="BE6" s="1027">
        <f>SUMIF($AC$718:$AC$752,"&lt;=25%",$G$718:G$752)-SUM($BE$5:BE5)</f>
        <v>0</v>
      </c>
    </row>
    <row r="7" spans="1:58" ht="13" customHeight="1">
      <c r="BD7" s="1025" t="s">
        <v>651</v>
      </c>
      <c r="BE7" s="1027">
        <f>SUMIF($AC$718:$AC$752,"&lt;=30%",$G$718:G$752)-SUM($BE$5:BE6)</f>
        <v>25</v>
      </c>
    </row>
    <row r="8" spans="1:58" ht="26.25" customHeight="1">
      <c r="A8" s="1767" t="s">
        <v>652</v>
      </c>
      <c r="B8" s="1767"/>
      <c r="C8" s="1767"/>
      <c r="D8" s="1767"/>
      <c r="E8" s="1767"/>
      <c r="F8" s="1767"/>
      <c r="G8" s="1767"/>
      <c r="H8" s="1767"/>
      <c r="I8" s="1767"/>
      <c r="J8" s="1767"/>
      <c r="K8" s="1767"/>
      <c r="L8" s="1767"/>
      <c r="M8" s="1767"/>
      <c r="N8" s="1767"/>
      <c r="O8" s="1767"/>
      <c r="P8" s="1767"/>
      <c r="Q8" s="1767"/>
      <c r="R8" s="1767"/>
      <c r="S8" s="1767"/>
      <c r="T8" s="1767"/>
      <c r="U8" s="1767"/>
      <c r="V8" s="1767"/>
      <c r="W8" s="1767"/>
      <c r="X8" s="1767"/>
      <c r="Y8" s="1767"/>
      <c r="Z8" s="1767"/>
      <c r="AA8" s="1767"/>
      <c r="AB8" s="1767"/>
      <c r="AC8" s="1767"/>
      <c r="AD8" s="1767"/>
      <c r="AE8" s="1767"/>
      <c r="AF8" s="1767"/>
      <c r="AG8" s="1767"/>
      <c r="AH8" s="1767"/>
      <c r="AI8" s="1767"/>
      <c r="AJ8" s="1767"/>
      <c r="AK8" s="1767"/>
      <c r="AL8" s="1767"/>
      <c r="AM8" s="1767"/>
      <c r="AN8" s="1767"/>
      <c r="AO8" s="1767"/>
      <c r="AP8" s="1767"/>
      <c r="AQ8" s="1767"/>
      <c r="AR8" s="1767"/>
      <c r="AS8" s="1767"/>
      <c r="AT8" s="1767"/>
      <c r="AU8" s="1150"/>
      <c r="AV8" s="1150"/>
      <c r="AW8" s="1150"/>
      <c r="AX8" s="1150"/>
      <c r="AY8" s="1150"/>
      <c r="BD8" s="2" t="s">
        <v>653</v>
      </c>
      <c r="BE8" s="1027">
        <f>SUMIF($AC$718:$AC$752,"&lt;=35%",$G$718:G$752)-SUM($BE$5:BE7)</f>
        <v>0</v>
      </c>
    </row>
    <row r="9" spans="1:58" ht="13" customHeight="1">
      <c r="A9" s="1768" t="s">
        <v>654</v>
      </c>
      <c r="B9" s="1768"/>
      <c r="C9" s="1768"/>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8"/>
      <c r="AB9" s="1768"/>
      <c r="AC9" s="1768"/>
      <c r="AD9" s="1768"/>
      <c r="AE9" s="1768"/>
      <c r="AF9" s="1768"/>
      <c r="AG9" s="1768"/>
      <c r="AH9" s="1768"/>
      <c r="AI9" s="1768"/>
      <c r="AJ9" s="1768"/>
      <c r="AK9" s="1768"/>
      <c r="AL9" s="1768"/>
      <c r="AM9" s="1768"/>
      <c r="AN9" s="1768"/>
      <c r="AO9" s="1768"/>
      <c r="AP9" s="1768"/>
      <c r="AQ9" s="1768"/>
      <c r="AR9" s="1768"/>
      <c r="AS9" s="1768"/>
      <c r="AT9" s="1768"/>
      <c r="AU9" s="1149"/>
      <c r="AV9" s="1149"/>
      <c r="AW9" s="1149"/>
      <c r="AX9" s="1149"/>
      <c r="AY9" s="1149"/>
      <c r="BD9" s="1026" t="s">
        <v>655</v>
      </c>
      <c r="BE9" s="1027">
        <f>SUMIF($AC$718:$AC$752,"&lt;=40%",$G$718:G$752)-SUM($BE$5:BE8)</f>
        <v>0</v>
      </c>
    </row>
    <row r="10" spans="1:58" ht="13" customHeight="1">
      <c r="A10" s="1768" t="s">
        <v>656</v>
      </c>
      <c r="B10" s="1768"/>
      <c r="C10" s="1768"/>
      <c r="D10" s="1768"/>
      <c r="E10" s="1768"/>
      <c r="F10" s="1768"/>
      <c r="G10" s="1768"/>
      <c r="H10" s="1768"/>
      <c r="I10" s="1768"/>
      <c r="J10" s="1768"/>
      <c r="K10" s="1768"/>
      <c r="L10" s="1768"/>
      <c r="M10" s="1768"/>
      <c r="N10" s="1768"/>
      <c r="O10" s="1768"/>
      <c r="P10" s="1768"/>
      <c r="Q10" s="1768"/>
      <c r="R10" s="1768"/>
      <c r="S10" s="1768"/>
      <c r="T10" s="1768"/>
      <c r="U10" s="1768"/>
      <c r="V10" s="1768"/>
      <c r="W10" s="1768"/>
      <c r="X10" s="1768"/>
      <c r="Y10" s="1768"/>
      <c r="Z10" s="1768"/>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149"/>
      <c r="AV10" s="1149"/>
      <c r="AW10" s="1149"/>
      <c r="AX10" s="1149"/>
      <c r="AY10" s="1149"/>
      <c r="BD10" s="2" t="s">
        <v>657</v>
      </c>
      <c r="BE10" s="1027">
        <f>SUMIF($AC$718:$AC$752,"&lt;=45%",$G$718:G$752)-SUM($BE$5:BE9)</f>
        <v>0</v>
      </c>
    </row>
    <row r="11" spans="1:58" ht="13" customHeight="1">
      <c r="A11" s="1768" t="s">
        <v>658</v>
      </c>
      <c r="B11" s="1768"/>
      <c r="C11" s="1768"/>
      <c r="D11" s="1768"/>
      <c r="E11" s="1768"/>
      <c r="F11" s="1768"/>
      <c r="G11" s="1768"/>
      <c r="H11" s="1768"/>
      <c r="I11" s="1768"/>
      <c r="J11" s="1768"/>
      <c r="K11" s="1768"/>
      <c r="L11" s="1768"/>
      <c r="M11" s="1768"/>
      <c r="N11" s="1768"/>
      <c r="O11" s="1768"/>
      <c r="P11" s="1768"/>
      <c r="Q11" s="1768"/>
      <c r="R11" s="1768"/>
      <c r="S11" s="1768"/>
      <c r="T11" s="1768"/>
      <c r="U11" s="1768"/>
      <c r="V11" s="1768"/>
      <c r="W11" s="1768"/>
      <c r="X11" s="1768"/>
      <c r="Y11" s="1768"/>
      <c r="Z11" s="1768"/>
      <c r="AA11" s="1768"/>
      <c r="AB11" s="1768"/>
      <c r="AC11" s="1768"/>
      <c r="AD11" s="1768"/>
      <c r="AE11" s="1768"/>
      <c r="AF11" s="1768"/>
      <c r="AG11" s="1768"/>
      <c r="AH11" s="1768"/>
      <c r="AI11" s="1768"/>
      <c r="AJ11" s="1768"/>
      <c r="AK11" s="1768"/>
      <c r="AL11" s="1768"/>
      <c r="AM11" s="1768"/>
      <c r="AN11" s="1768"/>
      <c r="AO11" s="1768"/>
      <c r="AP11" s="1768"/>
      <c r="AQ11" s="1768"/>
      <c r="AR11" s="1768"/>
      <c r="AS11" s="1768"/>
      <c r="AT11" s="1768"/>
      <c r="AU11" s="1149"/>
      <c r="AV11" s="1149"/>
      <c r="AW11" s="1149"/>
      <c r="AX11" s="1149"/>
      <c r="AY11" s="1149"/>
      <c r="BD11" s="1025" t="s">
        <v>659</v>
      </c>
      <c r="BE11" s="1027">
        <f>SUMIF($AC$718:$AC$752,"&lt;=50%",$G$718:G$752)-SUM($BE$5:BE10)</f>
        <v>0</v>
      </c>
    </row>
    <row r="12" spans="1:58" ht="13" customHeight="1">
      <c r="A12" s="1769" t="s">
        <v>660</v>
      </c>
      <c r="B12" s="1769"/>
      <c r="C12" s="1769"/>
      <c r="D12" s="1769"/>
      <c r="E12" s="1769"/>
      <c r="F12" s="1769"/>
      <c r="G12" s="1769"/>
      <c r="H12" s="1769"/>
      <c r="I12" s="1769"/>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151"/>
      <c r="AV12" s="1151"/>
      <c r="AW12" s="1151"/>
      <c r="AX12" s="1151"/>
      <c r="AY12" s="1151"/>
      <c r="BD12" s="2" t="s">
        <v>661</v>
      </c>
      <c r="BE12" s="1027">
        <f>SUMIF($AC$718:$AC$752,"&lt;=55%",$G$718:G$752)-SUM($BE$5:BE11)</f>
        <v>0</v>
      </c>
    </row>
    <row r="13" spans="1:58" ht="13" customHeight="1">
      <c r="A13" s="1231" t="s">
        <v>662</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10"/>
      <c r="AV13" s="710"/>
      <c r="AW13" s="710"/>
      <c r="AX13" s="710"/>
      <c r="AY13" s="710"/>
      <c r="BD13" s="1026" t="s">
        <v>663</v>
      </c>
      <c r="BE13" s="1027">
        <f>SUMIF($AC$718:$AC$752,"&lt;=60%",$G$718:G$752)-SUM($BE$5:BE12)</f>
        <v>27</v>
      </c>
    </row>
    <row r="14" spans="1:58" ht="13"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10"/>
      <c r="AV14" s="710"/>
      <c r="AW14" s="710"/>
      <c r="AX14" s="710"/>
      <c r="AY14" s="710"/>
      <c r="BD14" s="1025" t="s">
        <v>664</v>
      </c>
      <c r="BE14" s="1027">
        <f>SUMIF($AC$718:$AC$752,"&lt;=70%",$G$718:G$752)-SUM($BE$5:BE13)</f>
        <v>0</v>
      </c>
    </row>
    <row r="15" spans="1:58"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6" t="s">
        <v>665</v>
      </c>
      <c r="BE15" s="1027">
        <f>SUMIF($AC$718:$AC$752,"&lt;=80%",$G$718:G$752)-SUM($BE$5:BE14)</f>
        <v>0</v>
      </c>
    </row>
    <row r="16" spans="1:58" ht="13" customHeight="1">
      <c r="A16" s="38" t="s">
        <v>666</v>
      </c>
      <c r="C16" s="2"/>
      <c r="D16" s="2"/>
      <c r="E16" s="2"/>
      <c r="F16" s="2"/>
      <c r="G16" s="2"/>
      <c r="H16" s="1488" t="s">
        <v>667</v>
      </c>
      <c r="I16" s="1488"/>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c r="BD16" s="1026" t="s">
        <v>77</v>
      </c>
      <c r="BE16" s="1027" t="str">
        <f>Application!H18</f>
        <v>Baler Place</v>
      </c>
    </row>
    <row r="17" spans="1:58" ht="13" customHeight="1">
      <c r="BD17" s="1025" t="s">
        <v>668</v>
      </c>
      <c r="BE17" s="1027">
        <f>Application!AA934</f>
        <v>0</v>
      </c>
    </row>
    <row r="18" spans="1:58" ht="13" customHeight="1">
      <c r="A18" s="38" t="s">
        <v>669</v>
      </c>
      <c r="C18" s="2"/>
      <c r="D18" s="2"/>
      <c r="E18" s="2"/>
      <c r="F18" s="2"/>
      <c r="G18" s="2"/>
      <c r="H18" s="1472" t="s">
        <v>670</v>
      </c>
      <c r="I18" s="1472"/>
      <c r="J18" s="1472"/>
      <c r="K18" s="1472"/>
      <c r="L18" s="1472"/>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BD18" s="1026" t="s">
        <v>671</v>
      </c>
      <c r="BE18" s="1027">
        <f>'CalHFA Addendum'!N11</f>
        <v>0</v>
      </c>
    </row>
    <row r="19" spans="1:58" ht="13" customHeight="1">
      <c r="BD19" s="1025" t="s">
        <v>672</v>
      </c>
      <c r="BE19" s="1027">
        <f>Application!M26</f>
        <v>2096053</v>
      </c>
    </row>
    <row r="20" spans="1:58" ht="13" customHeight="1">
      <c r="A20" s="1770" t="s">
        <v>673</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1770"/>
      <c r="AN20" s="1770"/>
      <c r="AO20" s="1770"/>
      <c r="AP20" s="1770"/>
      <c r="AQ20" s="1770"/>
      <c r="AR20" s="1770"/>
      <c r="AS20" s="1770"/>
      <c r="AT20" s="1770"/>
      <c r="AU20" s="1152"/>
      <c r="AV20" s="1152"/>
      <c r="AW20" s="1152"/>
      <c r="AX20" s="1152"/>
      <c r="AY20" s="1152"/>
      <c r="BD20" s="1026" t="s">
        <v>674</v>
      </c>
      <c r="BE20" s="1027">
        <f>Application!M27</f>
        <v>0</v>
      </c>
    </row>
    <row r="21" spans="1:58" ht="13" customHeight="1">
      <c r="A21" s="1772" t="s">
        <v>675</v>
      </c>
      <c r="B21" s="1772"/>
      <c r="C21" s="1772"/>
      <c r="D21" s="1772"/>
      <c r="E21" s="1772"/>
      <c r="F21" s="1772"/>
      <c r="G21" s="1772"/>
      <c r="H21" s="1772"/>
      <c r="I21" s="1772"/>
      <c r="J21" s="1772"/>
      <c r="K21" s="1772"/>
      <c r="L21" s="1772"/>
      <c r="M21" s="1772"/>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c r="AL21" s="1772"/>
      <c r="AM21" s="1154"/>
      <c r="AN21" s="1154"/>
      <c r="AO21" s="1154"/>
      <c r="AP21" s="1154"/>
      <c r="AQ21" s="1154"/>
      <c r="AR21" s="1154"/>
      <c r="AS21" s="1154"/>
      <c r="AT21" s="1154"/>
      <c r="AU21" s="1154"/>
      <c r="AV21" s="1154"/>
      <c r="AW21" s="1154"/>
      <c r="AX21" s="1154"/>
      <c r="AY21" s="1154"/>
      <c r="BD21" s="1025" t="s">
        <v>676</v>
      </c>
      <c r="BE21" s="1027">
        <f>Application!AM554</f>
        <v>21709330</v>
      </c>
    </row>
    <row r="22" spans="1:58" ht="13"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6" t="s">
        <v>677</v>
      </c>
      <c r="BE22" s="1027">
        <f>'Sources and Uses Budget'!B105</f>
        <v>43095977</v>
      </c>
      <c r="BF22" s="2" t="s">
        <v>678</v>
      </c>
    </row>
    <row r="23" spans="1:58" ht="13" customHeight="1">
      <c r="A23" s="1289" t="s">
        <v>679</v>
      </c>
      <c r="B23" s="1289"/>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4"/>
      <c r="AV23" s="14"/>
      <c r="AW23" s="14"/>
      <c r="AX23" s="14"/>
      <c r="AY23" s="14"/>
      <c r="AZ23" s="14"/>
      <c r="BD23" s="1025" t="s">
        <v>680</v>
      </c>
      <c r="BE23" s="1027">
        <f>'Sources and Uses Budget'!B4</f>
        <v>1440000</v>
      </c>
    </row>
    <row r="24" spans="1:58" ht="13" customHeight="1">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4"/>
      <c r="AV24" s="14"/>
      <c r="AW24" s="14"/>
      <c r="AX24" s="14"/>
      <c r="AY24" s="14"/>
      <c r="AZ24" s="14"/>
      <c r="BD24" s="1026" t="s">
        <v>681</v>
      </c>
      <c r="BE24" s="1027">
        <f>Application!AG450</f>
        <v>52334</v>
      </c>
    </row>
    <row r="25" spans="1:58" ht="13" customHeight="1">
      <c r="A25" s="1112"/>
      <c r="C25" s="1112"/>
      <c r="D25" s="1112"/>
      <c r="E25" s="1112"/>
      <c r="F25" s="1112"/>
      <c r="G25" s="1112"/>
      <c r="H25" s="1112"/>
      <c r="I25" s="1112"/>
      <c r="J25" s="1112"/>
      <c r="K25" s="1112"/>
      <c r="L25" s="1112"/>
      <c r="M25" s="1112"/>
      <c r="N25" s="1112"/>
      <c r="O25" s="1112"/>
      <c r="P25" s="1112"/>
      <c r="Q25" s="1112"/>
      <c r="R25" s="1112"/>
      <c r="S25" s="1112"/>
      <c r="T25" s="1112"/>
      <c r="U25" s="1112"/>
      <c r="V25" s="1112"/>
      <c r="W25" s="1112"/>
      <c r="X25" s="1112"/>
      <c r="Y25" s="1112"/>
      <c r="Z25" s="1112"/>
      <c r="AA25" s="1112"/>
      <c r="AB25" s="1112"/>
      <c r="AC25" s="1112"/>
      <c r="AD25" s="1112"/>
      <c r="AE25" s="1112"/>
      <c r="AF25" s="1112"/>
      <c r="AG25" s="1112"/>
      <c r="AH25" s="1112"/>
      <c r="AI25" s="1112"/>
      <c r="AJ25" s="1112"/>
      <c r="AK25" s="2"/>
      <c r="BD25" s="1025" t="s">
        <v>682</v>
      </c>
      <c r="BE25" s="1027" t="str">
        <f>Application!D208</f>
        <v>40%/60% Average Income</v>
      </c>
    </row>
    <row r="26" spans="1:58" ht="13" customHeight="1">
      <c r="A26" s="2"/>
      <c r="C26" s="2"/>
      <c r="D26" s="2"/>
      <c r="E26" s="2"/>
      <c r="F26" s="2"/>
      <c r="G26" s="2"/>
      <c r="H26" s="2"/>
      <c r="I26" s="2"/>
      <c r="J26" s="2"/>
      <c r="K26" s="2"/>
      <c r="L26" s="2"/>
      <c r="M26" s="1495">
        <f>'Basis &amp; Credits'!AB56</f>
        <v>2096053</v>
      </c>
      <c r="N26" s="1495"/>
      <c r="O26" s="1495"/>
      <c r="P26" s="1495"/>
      <c r="Q26" s="1495"/>
      <c r="R26" s="2" t="s">
        <v>683</v>
      </c>
      <c r="S26" s="2"/>
      <c r="T26" s="2"/>
      <c r="U26" s="2"/>
      <c r="V26" s="2"/>
      <c r="W26" s="2"/>
      <c r="X26" s="2"/>
      <c r="Y26" s="2"/>
      <c r="Z26" s="2"/>
      <c r="AF26" s="2"/>
      <c r="AG26" s="2"/>
      <c r="AH26" s="2"/>
      <c r="AI26" s="2"/>
      <c r="AJ26" s="2"/>
      <c r="AK26" s="2"/>
      <c r="BD26" s="1026" t="s">
        <v>684</v>
      </c>
      <c r="BE26" s="1027" t="b">
        <f>Application!M356="Yes"</f>
        <v>0</v>
      </c>
    </row>
    <row r="27" spans="1:58" ht="13" customHeight="1">
      <c r="A27" s="2"/>
      <c r="C27" s="2"/>
      <c r="D27" s="2"/>
      <c r="E27" s="2"/>
      <c r="F27" s="2"/>
      <c r="G27" s="2"/>
      <c r="H27" s="2"/>
      <c r="I27" s="2"/>
      <c r="J27" s="2"/>
      <c r="K27" s="2"/>
      <c r="L27" s="2"/>
      <c r="M27" s="1314">
        <f>'Basis &amp; Credits'!AB78</f>
        <v>0</v>
      </c>
      <c r="N27" s="1314"/>
      <c r="O27" s="1314"/>
      <c r="P27" s="1314"/>
      <c r="Q27" s="1314"/>
      <c r="R27" s="2" t="s">
        <v>685</v>
      </c>
      <c r="S27" s="2"/>
      <c r="T27" s="2"/>
      <c r="U27" s="2"/>
      <c r="V27" s="2"/>
      <c r="W27" s="2"/>
      <c r="X27" s="2"/>
      <c r="Y27" s="2"/>
      <c r="Z27" s="2"/>
      <c r="AF27" s="2"/>
      <c r="AG27" s="2"/>
      <c r="AH27" s="2"/>
      <c r="AI27" s="2"/>
      <c r="AJ27" s="2"/>
      <c r="AK27" s="2"/>
      <c r="BD27" s="1025" t="s">
        <v>686</v>
      </c>
      <c r="BE27" s="1027" t="b">
        <f>Application!M355="Yes"</f>
        <v>1</v>
      </c>
    </row>
    <row r="28" spans="1:58"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6" t="s">
        <v>687</v>
      </c>
      <c r="BE28" s="1027" t="b">
        <f>Application!M357="Yes"</f>
        <v>0</v>
      </c>
    </row>
    <row r="29" spans="1:58" ht="13" customHeight="1">
      <c r="A29" s="1483" t="s">
        <v>688</v>
      </c>
      <c r="B29" s="1483"/>
      <c r="C29" s="1483"/>
      <c r="D29" s="1483"/>
      <c r="E29" s="1483"/>
      <c r="F29" s="1483"/>
      <c r="G29" s="1483"/>
      <c r="H29" s="1483"/>
      <c r="I29" s="1483"/>
      <c r="J29" s="1483"/>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483"/>
      <c r="AM29" s="1483"/>
      <c r="AN29" s="1483"/>
      <c r="AO29" s="1483"/>
      <c r="AP29" s="1483"/>
      <c r="AQ29" s="1483"/>
      <c r="AR29" s="1483"/>
      <c r="AS29" s="1483"/>
      <c r="AT29" s="1483"/>
      <c r="BD29" s="1025" t="s">
        <v>689</v>
      </c>
      <c r="BE29" s="1027" t="b">
        <f>Application!M358="Yes"</f>
        <v>0</v>
      </c>
    </row>
    <row r="30" spans="1:58" ht="13" customHeight="1">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3"/>
      <c r="AZ30" s="15"/>
      <c r="BD30" s="1026" t="s">
        <v>690</v>
      </c>
      <c r="BE30" s="1027" t="b">
        <f>Application!AJ355="Yes"</f>
        <v>0</v>
      </c>
    </row>
    <row r="31" spans="1:58" ht="13" customHeight="1">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c r="W31" s="1483"/>
      <c r="X31" s="1483"/>
      <c r="Y31" s="1483"/>
      <c r="Z31" s="1483"/>
      <c r="AA31" s="1483"/>
      <c r="AB31" s="1483"/>
      <c r="AC31" s="1483"/>
      <c r="AD31" s="1483"/>
      <c r="AE31" s="1483"/>
      <c r="AF31" s="1483"/>
      <c r="AG31" s="1483"/>
      <c r="AH31" s="1483"/>
      <c r="AI31" s="1483"/>
      <c r="AJ31" s="1483"/>
      <c r="AK31" s="1483"/>
      <c r="AL31" s="1483"/>
      <c r="AM31" s="1483"/>
      <c r="AN31" s="1483"/>
      <c r="AO31" s="1483"/>
      <c r="AP31" s="1483"/>
      <c r="AQ31" s="1483"/>
      <c r="AR31" s="1483"/>
      <c r="AS31" s="1483"/>
      <c r="AT31" s="1483"/>
      <c r="AU31" s="15"/>
      <c r="AV31" s="15"/>
      <c r="AW31" s="15"/>
      <c r="AX31" s="15"/>
      <c r="AY31" s="15"/>
      <c r="AZ31" s="15"/>
      <c r="BD31" s="1025" t="s">
        <v>691</v>
      </c>
      <c r="BE31" s="1027" t="str">
        <f>Application!D211</f>
        <v>Large Family</v>
      </c>
    </row>
    <row r="32" spans="1:58" ht="13" customHeight="1">
      <c r="A32" s="1125"/>
      <c r="C32" s="1125"/>
      <c r="D32" s="1125"/>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6" t="s">
        <v>692</v>
      </c>
      <c r="BE32" s="1027">
        <f>IF(ISNUMBER(Application!W465),W465,0)</f>
        <v>0</v>
      </c>
    </row>
    <row r="33" spans="1:57" ht="13" customHeight="1">
      <c r="A33" s="1125" t="s">
        <v>693</v>
      </c>
      <c r="C33" s="1125"/>
      <c r="D33" s="1125"/>
      <c r="E33" s="1125"/>
      <c r="F33" s="1125"/>
      <c r="G33" s="1125"/>
      <c r="H33" s="1125"/>
      <c r="I33" s="1125"/>
      <c r="J33" s="1125"/>
      <c r="K33" s="1125"/>
      <c r="L33" s="1125"/>
      <c r="M33" s="1125"/>
      <c r="N33" s="1125"/>
      <c r="O33" s="1367" t="s">
        <v>694</v>
      </c>
      <c r="P33" s="1367"/>
      <c r="Q33" s="1771" t="s">
        <v>695</v>
      </c>
      <c r="R33" s="1771"/>
      <c r="S33" s="1771"/>
      <c r="T33" s="1771"/>
      <c r="U33" s="1771"/>
      <c r="V33" s="1771"/>
      <c r="W33" s="1771"/>
      <c r="X33" s="1771"/>
      <c r="Y33" s="1771"/>
      <c r="Z33" s="1771"/>
      <c r="AA33" s="1771"/>
      <c r="AB33" s="1771"/>
      <c r="AC33" s="1771"/>
      <c r="AD33" s="1771"/>
      <c r="AE33" s="1771"/>
      <c r="AF33" s="1771"/>
      <c r="AG33" s="1771"/>
      <c r="AH33" s="1771"/>
      <c r="AI33" s="1771"/>
      <c r="AJ33" s="1771"/>
      <c r="AK33" s="1771"/>
      <c r="AL33" s="1771"/>
      <c r="AM33" s="1771"/>
      <c r="AN33" s="1771"/>
      <c r="AO33" s="1771"/>
      <c r="AP33" s="1771"/>
      <c r="AQ33" s="1771"/>
      <c r="AR33" s="1771"/>
      <c r="AS33" s="1771"/>
      <c r="AT33" s="1771"/>
      <c r="AU33" s="15"/>
      <c r="AV33" s="15"/>
      <c r="AW33" s="15"/>
      <c r="AX33" s="15"/>
      <c r="AY33" s="15"/>
      <c r="BD33" s="1025" t="s">
        <v>696</v>
      </c>
      <c r="BE33" s="1027" t="str">
        <f>Application!D220</f>
        <v>Central Valley Region: Fresno, Kern, Kings, Madera, Merced, San Joaquin, Stanislaus, and Tulare Counties</v>
      </c>
    </row>
    <row r="34" spans="1:57" ht="13" customHeight="1">
      <c r="A34" s="1483" t="s">
        <v>697</v>
      </c>
      <c r="B34" s="1483"/>
      <c r="C34" s="1483"/>
      <c r="D34" s="1483"/>
      <c r="E34" s="1483"/>
      <c r="F34" s="1483"/>
      <c r="G34" s="1483"/>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3"/>
      <c r="AU34" s="15"/>
      <c r="AV34" s="15"/>
      <c r="AW34" s="15"/>
      <c r="AX34" s="15"/>
      <c r="AY34" s="15"/>
      <c r="AZ34" s="15"/>
      <c r="BD34" s="1026" t="s">
        <v>698</v>
      </c>
      <c r="BE34" s="1027" t="str">
        <f>Application!I185</f>
        <v>340 Bridgevale Road</v>
      </c>
    </row>
    <row r="35" spans="1:57" ht="13" customHeight="1">
      <c r="A35" s="1483"/>
      <c r="B35" s="1483"/>
      <c r="C35" s="1483"/>
      <c r="D35" s="1483"/>
      <c r="E35" s="1483"/>
      <c r="F35" s="1483"/>
      <c r="G35" s="1483"/>
      <c r="H35" s="1483"/>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c r="AK35" s="1483"/>
      <c r="AL35" s="1483"/>
      <c r="AM35" s="1483"/>
      <c r="AN35" s="1483"/>
      <c r="AO35" s="1483"/>
      <c r="AP35" s="1483"/>
      <c r="AQ35" s="1483"/>
      <c r="AR35" s="1483"/>
      <c r="AS35" s="1483"/>
      <c r="AT35" s="1483"/>
      <c r="AU35" s="15"/>
      <c r="AV35" s="15"/>
      <c r="AW35" s="15"/>
      <c r="AX35" s="15"/>
      <c r="AY35" s="15"/>
      <c r="AZ35" s="15"/>
      <c r="BD35" s="1025" t="s">
        <v>699</v>
      </c>
      <c r="BE35" s="1027" t="str">
        <f>IF(Application!E187="","",Application!E187)</f>
        <v/>
      </c>
    </row>
    <row r="36" spans="1:57" ht="13" customHeight="1">
      <c r="A36" s="1483"/>
      <c r="B36" s="1483"/>
      <c r="C36" s="1483"/>
      <c r="D36" s="1483"/>
      <c r="E36" s="1483"/>
      <c r="F36" s="1483"/>
      <c r="G36" s="1483"/>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483"/>
      <c r="AM36" s="1483"/>
      <c r="AN36" s="1483"/>
      <c r="AO36" s="1483"/>
      <c r="AP36" s="1483"/>
      <c r="AQ36" s="1483"/>
      <c r="AR36" s="1483"/>
      <c r="AS36" s="1483"/>
      <c r="AT36" s="1483"/>
      <c r="AU36" s="15"/>
      <c r="AV36" s="15"/>
      <c r="AW36" s="15"/>
      <c r="AX36" s="15"/>
      <c r="AY36" s="15"/>
      <c r="AZ36" s="15"/>
      <c r="BD36" s="1026" t="s">
        <v>700</v>
      </c>
      <c r="BE36" s="1027" t="str">
        <f>Application!I189</f>
        <v>Hollister</v>
      </c>
    </row>
    <row r="37" spans="1:57" ht="13" customHeight="1">
      <c r="A37" s="1483"/>
      <c r="B37" s="1483"/>
      <c r="C37" s="1483"/>
      <c r="D37" s="1483"/>
      <c r="E37" s="1483"/>
      <c r="F37" s="1483"/>
      <c r="G37" s="1483"/>
      <c r="H37" s="1483"/>
      <c r="I37" s="1483"/>
      <c r="J37" s="1483"/>
      <c r="K37" s="1483"/>
      <c r="L37" s="1483"/>
      <c r="M37" s="1483"/>
      <c r="N37" s="1483"/>
      <c r="O37" s="1483"/>
      <c r="P37" s="1483"/>
      <c r="Q37" s="1483"/>
      <c r="R37" s="1483"/>
      <c r="S37" s="1483"/>
      <c r="T37" s="1483"/>
      <c r="U37" s="1483"/>
      <c r="V37" s="1483"/>
      <c r="W37" s="1483"/>
      <c r="X37" s="1483"/>
      <c r="Y37" s="1483"/>
      <c r="Z37" s="1483"/>
      <c r="AA37" s="1483"/>
      <c r="AB37" s="1483"/>
      <c r="AC37" s="1483"/>
      <c r="AD37" s="1483"/>
      <c r="AE37" s="1483"/>
      <c r="AF37" s="1483"/>
      <c r="AG37" s="1483"/>
      <c r="AH37" s="1483"/>
      <c r="AI37" s="1483"/>
      <c r="AJ37" s="1483"/>
      <c r="AK37" s="1483"/>
      <c r="AL37" s="1483"/>
      <c r="AM37" s="1483"/>
      <c r="AN37" s="1483"/>
      <c r="AO37" s="1483"/>
      <c r="AP37" s="1483"/>
      <c r="AQ37" s="1483"/>
      <c r="AR37" s="1483"/>
      <c r="AS37" s="1483"/>
      <c r="AT37" s="1483"/>
      <c r="AZ37" s="15"/>
      <c r="BD37" s="1025" t="s">
        <v>701</v>
      </c>
      <c r="BE37" s="1027" t="str">
        <f>Application!T189</f>
        <v>San Benito</v>
      </c>
    </row>
    <row r="38" spans="1:57" ht="13" customHeight="1">
      <c r="A38" s="2"/>
      <c r="AZ38" s="15"/>
      <c r="BD38" s="1026" t="s">
        <v>702</v>
      </c>
      <c r="BE38" s="1027">
        <f>Application!I190</f>
        <v>95023</v>
      </c>
    </row>
    <row r="39" spans="1:57" ht="13" customHeight="1">
      <c r="A39" s="1221" t="s">
        <v>703</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5"/>
      <c r="BD39" s="1025" t="s">
        <v>704</v>
      </c>
      <c r="BE39" s="1027">
        <f>Application!AG437</f>
        <v>53</v>
      </c>
    </row>
    <row r="40" spans="1:57" ht="13"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5"/>
      <c r="AV40" s="15"/>
      <c r="AW40" s="15"/>
      <c r="AX40" s="15"/>
      <c r="AY40" s="15"/>
      <c r="AZ40" s="15"/>
      <c r="BD40" s="1026" t="s">
        <v>201</v>
      </c>
      <c r="BE40" s="1027">
        <f>Application!AG440</f>
        <v>52</v>
      </c>
    </row>
    <row r="41" spans="1:57" ht="13"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5"/>
      <c r="AV41" s="15"/>
      <c r="AW41" s="15"/>
      <c r="AX41" s="15"/>
      <c r="AY41" s="15"/>
      <c r="AZ41" s="15"/>
      <c r="BD41" s="1025" t="s">
        <v>209</v>
      </c>
      <c r="BE41" s="1027">
        <f>Application!AG438</f>
        <v>0</v>
      </c>
    </row>
    <row r="42" spans="1:57" ht="13"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5"/>
      <c r="BD42" s="1026" t="s">
        <v>705</v>
      </c>
      <c r="BE42" s="1029">
        <f>Application!AC753</f>
        <v>0.4557692307692307</v>
      </c>
    </row>
    <row r="43" spans="1:57" ht="13"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5"/>
      <c r="AV43" s="15"/>
      <c r="AW43" s="15"/>
      <c r="AX43" s="15"/>
      <c r="AY43" s="15"/>
      <c r="AZ43" s="15"/>
      <c r="BD43" s="1025" t="s">
        <v>706</v>
      </c>
      <c r="BE43" s="1029">
        <f>Application!AH753</f>
        <v>0.45574334143993145</v>
      </c>
    </row>
    <row r="44" spans="1:57" ht="13"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5"/>
      <c r="AV44" s="15"/>
      <c r="AW44" s="15"/>
      <c r="AX44" s="15"/>
      <c r="AY44" s="15"/>
      <c r="AZ44" s="15"/>
      <c r="BD44" s="1026" t="s">
        <v>707</v>
      </c>
      <c r="BE44" s="1027">
        <f>Application!AC454</f>
        <v>813131.64150943398</v>
      </c>
    </row>
    <row r="45" spans="1:57" ht="13" customHeight="1">
      <c r="A45" s="1125"/>
      <c r="C45" s="1125"/>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5" t="s">
        <v>708</v>
      </c>
      <c r="BE45" s="1027">
        <f>Application!AE424</f>
        <v>1</v>
      </c>
    </row>
    <row r="46" spans="1:57" ht="13" customHeight="1">
      <c r="A46" s="1289" t="s">
        <v>709</v>
      </c>
      <c r="B46" s="1289"/>
      <c r="C46" s="1289"/>
      <c r="D46" s="1289"/>
      <c r="E46" s="1289"/>
      <c r="F46" s="1289"/>
      <c r="G46" s="1289"/>
      <c r="H46" s="1289"/>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89"/>
      <c r="AG46" s="1289"/>
      <c r="AH46" s="1289"/>
      <c r="AI46" s="1289"/>
      <c r="AJ46" s="1289"/>
      <c r="AK46" s="1289"/>
      <c r="AL46" s="1289"/>
      <c r="AM46" s="1289"/>
      <c r="AN46" s="1289"/>
      <c r="AO46" s="1289"/>
      <c r="AP46" s="1289"/>
      <c r="AQ46" s="1289"/>
      <c r="AR46" s="1289"/>
      <c r="AS46" s="1289"/>
      <c r="AT46" s="1289"/>
      <c r="AU46" s="15"/>
      <c r="AV46" s="15"/>
      <c r="AW46" s="15"/>
      <c r="AX46" s="15"/>
      <c r="AY46" s="15"/>
      <c r="AZ46" s="15"/>
      <c r="BD46" s="1026" t="s">
        <v>710</v>
      </c>
      <c r="BE46" s="1027" t="b">
        <f>Application!T195="Yes"</f>
        <v>1</v>
      </c>
    </row>
    <row r="47" spans="1:57" ht="13" customHeight="1">
      <c r="A47" s="1289"/>
      <c r="B47" s="1289"/>
      <c r="C47" s="1289"/>
      <c r="D47" s="1289"/>
      <c r="E47" s="1289"/>
      <c r="F47" s="1289"/>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9"/>
      <c r="AD47" s="1289"/>
      <c r="AE47" s="1289"/>
      <c r="AF47" s="1289"/>
      <c r="AG47" s="1289"/>
      <c r="AH47" s="1289"/>
      <c r="AI47" s="1289"/>
      <c r="AJ47" s="1289"/>
      <c r="AK47" s="1289"/>
      <c r="AL47" s="1289"/>
      <c r="AM47" s="1289"/>
      <c r="AN47" s="1289"/>
      <c r="AO47" s="1289"/>
      <c r="AP47" s="1289"/>
      <c r="AQ47" s="1289"/>
      <c r="AR47" s="1289"/>
      <c r="AS47" s="1289"/>
      <c r="AT47" s="1289"/>
      <c r="AU47" s="15"/>
      <c r="AV47" s="15"/>
      <c r="AW47" s="15"/>
      <c r="AX47" s="15"/>
      <c r="AY47" s="15"/>
      <c r="AZ47" s="15"/>
      <c r="BD47" s="1025" t="s">
        <v>711</v>
      </c>
      <c r="BE47" s="1027" t="b">
        <f>Application!T196="Yes"</f>
        <v>0</v>
      </c>
    </row>
    <row r="48" spans="1:57" ht="13" customHeight="1">
      <c r="A48" s="1289"/>
      <c r="B48" s="1289"/>
      <c r="C48" s="1289"/>
      <c r="D48" s="1289"/>
      <c r="E48" s="1289"/>
      <c r="F48" s="1289"/>
      <c r="G48" s="1289"/>
      <c r="H48" s="1289"/>
      <c r="I48" s="1289"/>
      <c r="J48" s="1289"/>
      <c r="K48" s="1289"/>
      <c r="L48" s="1289"/>
      <c r="M48" s="1289"/>
      <c r="N48" s="1289"/>
      <c r="O48" s="1289"/>
      <c r="P48" s="1289"/>
      <c r="Q48" s="1289"/>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5"/>
      <c r="AV48" s="15"/>
      <c r="AW48" s="15"/>
      <c r="AX48" s="15"/>
      <c r="AY48" s="15"/>
      <c r="AZ48" s="15"/>
      <c r="BD48" s="1026" t="s">
        <v>712</v>
      </c>
      <c r="BE48" s="1027" t="str">
        <f>Application!M243</f>
        <v>PSCDC Baler LLC</v>
      </c>
    </row>
    <row r="49" spans="1:57" ht="13" customHeight="1">
      <c r="A49" s="1289"/>
      <c r="B49" s="1289"/>
      <c r="C49" s="1289"/>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89"/>
      <c r="AE49" s="1289"/>
      <c r="AF49" s="1289"/>
      <c r="AG49" s="1289"/>
      <c r="AH49" s="1289"/>
      <c r="AI49" s="1289"/>
      <c r="AJ49" s="1289"/>
      <c r="AK49" s="1289"/>
      <c r="AL49" s="1289"/>
      <c r="AM49" s="1289"/>
      <c r="AN49" s="1289"/>
      <c r="AO49" s="1289"/>
      <c r="AP49" s="1289"/>
      <c r="AQ49" s="1289"/>
      <c r="AR49" s="1289"/>
      <c r="AS49" s="1289"/>
      <c r="AT49" s="1289"/>
      <c r="AU49" s="15"/>
      <c r="AV49" s="15"/>
      <c r="AW49" s="15"/>
      <c r="AX49" s="15"/>
      <c r="AY49" s="15"/>
      <c r="AZ49" s="15"/>
      <c r="BD49" s="1025" t="s">
        <v>713</v>
      </c>
      <c r="BE49" s="1027" t="str">
        <f>Application!M246</f>
        <v>Robert Laing</v>
      </c>
    </row>
    <row r="50" spans="1:57" ht="13" customHeight="1">
      <c r="A50" s="1126"/>
      <c r="B50" s="1126"/>
      <c r="C50" s="1126"/>
      <c r="D50" s="1126"/>
      <c r="E50" s="1126"/>
      <c r="F50" s="1126"/>
      <c r="G50" s="1126"/>
      <c r="H50" s="1126"/>
      <c r="I50" s="1126"/>
      <c r="J50" s="1126"/>
      <c r="K50" s="1126"/>
      <c r="L50" s="1126"/>
      <c r="M50" s="1126"/>
      <c r="N50" s="1126"/>
      <c r="O50" s="1126"/>
      <c r="P50" s="1126"/>
      <c r="Q50" s="1126"/>
      <c r="R50" s="1126"/>
      <c r="S50" s="1126"/>
      <c r="T50" s="1126"/>
      <c r="U50" s="1126"/>
      <c r="V50" s="1126"/>
      <c r="W50" s="1126"/>
      <c r="X50" s="1126"/>
      <c r="Y50" s="1126"/>
      <c r="Z50" s="1126"/>
      <c r="AA50" s="1126"/>
      <c r="AB50" s="1126"/>
      <c r="AC50" s="1126"/>
      <c r="AD50" s="1126"/>
      <c r="AE50" s="1126"/>
      <c r="AF50" s="1126"/>
      <c r="AG50" s="1126"/>
      <c r="AH50" s="1126"/>
      <c r="AI50" s="1126"/>
      <c r="AJ50" s="1126"/>
      <c r="AK50" s="1126"/>
      <c r="AL50" s="1126"/>
      <c r="AM50" s="1126"/>
      <c r="AN50" s="1126"/>
      <c r="AO50" s="1126"/>
      <c r="AP50" s="1126"/>
      <c r="AQ50" s="1126"/>
      <c r="AR50" s="1126"/>
      <c r="AS50" s="1126"/>
      <c r="AT50" s="1126"/>
      <c r="AU50" s="15"/>
      <c r="AV50" s="15"/>
      <c r="AW50" s="15"/>
      <c r="AX50" s="15"/>
      <c r="AY50" s="15"/>
      <c r="AZ50" s="15"/>
      <c r="BD50" s="1026" t="s">
        <v>714</v>
      </c>
      <c r="BE50" s="1027" t="str">
        <f>Application!AA249</f>
        <v>Pacific Southwest Community Development Corporation</v>
      </c>
    </row>
    <row r="51" spans="1:57" ht="13" customHeight="1">
      <c r="A51" s="1221" t="s">
        <v>715</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5"/>
      <c r="AV51" s="15"/>
      <c r="AW51" s="15"/>
      <c r="AX51" s="15"/>
      <c r="AY51" s="15"/>
      <c r="AZ51" s="15"/>
      <c r="BD51" s="1025" t="s">
        <v>716</v>
      </c>
      <c r="BE51" s="1027" t="str">
        <f>Application!M251</f>
        <v>CRP Baler Place AGP LLC</v>
      </c>
    </row>
    <row r="52" spans="1:57" ht="13"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5"/>
      <c r="AV52" s="15"/>
      <c r="AW52" s="15"/>
      <c r="AX52" s="15"/>
      <c r="AY52" s="15"/>
      <c r="AZ52" s="15"/>
      <c r="BD52" s="1026" t="s">
        <v>717</v>
      </c>
      <c r="BE52" s="1027" t="str">
        <f>Application!M254</f>
        <v>Paul Salib</v>
      </c>
    </row>
    <row r="53" spans="1:57" ht="13" customHeight="1">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5" t="s">
        <v>718</v>
      </c>
      <c r="BE53" s="1027">
        <f>Application!AA257</f>
        <v>0</v>
      </c>
    </row>
    <row r="54" spans="1:57" ht="13" customHeight="1">
      <c r="A54" s="1221" t="s">
        <v>719</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5"/>
      <c r="AV54" s="15"/>
      <c r="AW54" s="15"/>
      <c r="AX54" s="15"/>
      <c r="AY54" s="15"/>
      <c r="AZ54" s="16"/>
      <c r="BD54" s="1026" t="s">
        <v>720</v>
      </c>
      <c r="BE54" s="1027">
        <f>Application!M259</f>
        <v>0</v>
      </c>
    </row>
    <row r="55" spans="1:57" ht="13"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6"/>
      <c r="BD55" s="1025" t="s">
        <v>721</v>
      </c>
      <c r="BE55" s="1027">
        <f>Application!M262</f>
        <v>0</v>
      </c>
    </row>
    <row r="56" spans="1:57" ht="13"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c r="BD56" s="1026" t="s">
        <v>722</v>
      </c>
      <c r="BE56" s="1027">
        <f>Application!AA265</f>
        <v>0</v>
      </c>
    </row>
    <row r="57" spans="1:57" ht="13"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c r="BD57" s="1025" t="s">
        <v>723</v>
      </c>
      <c r="BE57" s="1027" t="str">
        <f>Application!H287</f>
        <v>CRP Affordable Housing &amp; Community Development LLC</v>
      </c>
    </row>
    <row r="58" spans="1:57" ht="13"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c r="BD58" s="1026" t="s">
        <v>724</v>
      </c>
      <c r="BE58" s="1027" t="str">
        <f>Application!H288</f>
        <v>4429 Morena Boulevard, Suite A</v>
      </c>
    </row>
    <row r="59" spans="1:57" ht="13" customHeight="1">
      <c r="A59" s="112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5" t="s">
        <v>725</v>
      </c>
      <c r="BE59" s="1027" t="str">
        <f>Application!H289</f>
        <v>San Diego , CA, 92117</v>
      </c>
    </row>
    <row r="60" spans="1:57" ht="13" customHeight="1">
      <c r="A60" s="1221" t="s">
        <v>726</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5"/>
      <c r="AV60" s="15"/>
      <c r="AW60" s="15"/>
      <c r="AX60" s="15"/>
      <c r="AY60" s="15"/>
      <c r="AZ60" s="15"/>
      <c r="BD60" s="1026" t="s">
        <v>727</v>
      </c>
      <c r="BE60" s="1027" t="str">
        <f>Application!H290</f>
        <v>Paul Salib</v>
      </c>
    </row>
    <row r="61" spans="1:57" ht="13"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5"/>
      <c r="AV61" s="15"/>
      <c r="AW61" s="15"/>
      <c r="AX61" s="15"/>
      <c r="AY61" s="15"/>
      <c r="AZ61" s="15"/>
      <c r="BD61" s="1025" t="s">
        <v>728</v>
      </c>
      <c r="BE61" s="1027" t="str">
        <f>Application!H293</f>
        <v>psalib@crpaffordable.com</v>
      </c>
    </row>
    <row r="62" spans="1:57" ht="13" customHeight="1">
      <c r="A62" s="1125"/>
      <c r="C62" s="1125"/>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6" t="s">
        <v>729</v>
      </c>
      <c r="BE62" s="1030">
        <f>'Basis &amp; Credits'!AB50</f>
        <v>0.87991199999999992</v>
      </c>
    </row>
    <row r="63" spans="1:57" ht="13" customHeight="1">
      <c r="A63" s="1125" t="s">
        <v>730</v>
      </c>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125"/>
      <c r="Z63" s="112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5" t="s">
        <v>731</v>
      </c>
      <c r="BE63" s="1030">
        <f>'Basis &amp; Credits'!AB72</f>
        <v>0</v>
      </c>
    </row>
    <row r="64" spans="1:57" ht="13" customHeight="1">
      <c r="C64" s="1125"/>
      <c r="D64" s="1125"/>
      <c r="E64" s="1125"/>
      <c r="F64" s="1125"/>
      <c r="G64" s="1125"/>
      <c r="H64" s="1125"/>
      <c r="I64" s="1125"/>
      <c r="J64" s="1125"/>
      <c r="K64" s="1125"/>
      <c r="L64" s="1125"/>
      <c r="M64" s="1125"/>
      <c r="N64" s="1125"/>
      <c r="O64" s="1125"/>
      <c r="P64" s="1125"/>
      <c r="Q64" s="1125"/>
      <c r="R64" s="1125"/>
      <c r="S64" s="1125"/>
      <c r="T64" s="1125"/>
      <c r="U64" s="1125"/>
      <c r="V64" s="1125"/>
      <c r="W64" s="1125"/>
      <c r="X64" s="1125"/>
      <c r="Y64" s="1125"/>
      <c r="Z64" s="112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6" t="s">
        <v>732</v>
      </c>
      <c r="BE64" s="1027" t="str">
        <f>Application!X180</f>
        <v>No</v>
      </c>
    </row>
    <row r="65" spans="1:57" ht="13" customHeight="1">
      <c r="A65" s="1221" t="s">
        <v>733</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6"/>
      <c r="AV65" s="16"/>
      <c r="AW65" s="16"/>
      <c r="AX65" s="16"/>
      <c r="AY65" s="16"/>
      <c r="AZ65" s="15"/>
      <c r="BD65" s="1025" t="s">
        <v>734</v>
      </c>
      <c r="BE65" s="1027" t="str">
        <f>Z205</f>
        <v>(select)</v>
      </c>
    </row>
    <row r="66" spans="1:57" ht="13"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6"/>
      <c r="AV66" s="16"/>
      <c r="AW66" s="16"/>
      <c r="AX66" s="16"/>
      <c r="AY66" s="16"/>
      <c r="AZ66" s="15"/>
      <c r="BD66" s="1026" t="s">
        <v>735</v>
      </c>
      <c r="BE66" s="1027" t="b">
        <f>Application!Z205="State Farmworker Credit"</f>
        <v>0</v>
      </c>
    </row>
    <row r="67" spans="1:57" ht="13"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5"/>
      <c r="BD67" s="1025" t="s">
        <v>736</v>
      </c>
      <c r="BE67" s="1027" t="b">
        <f>Application!O33="Yes"</f>
        <v>0</v>
      </c>
    </row>
    <row r="68" spans="1:57"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6" t="s">
        <v>737</v>
      </c>
      <c r="BE68" s="1027">
        <f>'Sources and Uses Budget'!D105</f>
        <v>0</v>
      </c>
    </row>
    <row r="69" spans="1:57" ht="13" customHeight="1">
      <c r="A69" s="1221" t="s">
        <v>738</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5"/>
      <c r="BD69" s="1025" t="s">
        <v>739</v>
      </c>
      <c r="BE69" s="1027" t="str">
        <f>Application!W700</f>
        <v>California Municipal Finance Authority</v>
      </c>
    </row>
    <row r="70" spans="1:57" ht="13"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5"/>
      <c r="AV70" s="15"/>
      <c r="AW70" s="15"/>
      <c r="AX70" s="15"/>
      <c r="AY70" s="15"/>
      <c r="AZ70" s="15"/>
      <c r="BD70" s="1026" t="s">
        <v>740</v>
      </c>
      <c r="BE70" s="1027">
        <f>'Points System'!AF821</f>
        <v>119</v>
      </c>
    </row>
    <row r="71" spans="1:57" ht="13" customHeight="1">
      <c r="A71" s="1125"/>
      <c r="C71" s="1125"/>
      <c r="D71" s="1125"/>
      <c r="E71" s="1125"/>
      <c r="F71" s="1125"/>
      <c r="G71" s="1125"/>
      <c r="H71" s="1125"/>
      <c r="I71" s="1125"/>
      <c r="J71" s="1125"/>
      <c r="K71" s="1125"/>
      <c r="L71" s="1125"/>
      <c r="M71" s="1125"/>
      <c r="N71" s="1125"/>
      <c r="O71" s="1125"/>
      <c r="P71" s="1125"/>
      <c r="Q71" s="1125"/>
      <c r="R71" s="1125"/>
      <c r="S71" s="1125"/>
      <c r="T71" s="1125"/>
      <c r="U71" s="1125"/>
      <c r="V71" s="1125"/>
      <c r="W71" s="1125"/>
      <c r="X71" s="1125"/>
      <c r="Y71" s="1125"/>
      <c r="Z71" s="112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5" t="s">
        <v>741</v>
      </c>
      <c r="BE71" s="1027">
        <f>'Points System'!AF804</f>
        <v>0</v>
      </c>
    </row>
    <row r="72" spans="1:57" ht="13" customHeight="1">
      <c r="A72" s="1483" t="s">
        <v>742</v>
      </c>
      <c r="B72" s="1483"/>
      <c r="C72" s="1483"/>
      <c r="D72" s="1483"/>
      <c r="E72" s="1483"/>
      <c r="F72" s="1483"/>
      <c r="G72" s="1483"/>
      <c r="H72" s="1483"/>
      <c r="I72" s="1483"/>
      <c r="J72" s="1483"/>
      <c r="K72" s="1483"/>
      <c r="L72" s="1483"/>
      <c r="M72" s="1483"/>
      <c r="N72" s="1483"/>
      <c r="O72" s="1483"/>
      <c r="P72" s="1483"/>
      <c r="Q72" s="1483"/>
      <c r="R72" s="1483"/>
      <c r="S72" s="1483"/>
      <c r="T72" s="1483"/>
      <c r="U72" s="1483"/>
      <c r="V72" s="1483"/>
      <c r="W72" s="1483"/>
      <c r="X72" s="1483"/>
      <c r="Y72" s="1483"/>
      <c r="Z72" s="1483"/>
      <c r="AA72" s="1483"/>
      <c r="AB72" s="1483"/>
      <c r="AC72" s="1483"/>
      <c r="AD72" s="1483"/>
      <c r="AE72" s="1483"/>
      <c r="AF72" s="1483"/>
      <c r="AG72" s="1483"/>
      <c r="AH72" s="1483"/>
      <c r="AI72" s="1483"/>
      <c r="AJ72" s="1483"/>
      <c r="AK72" s="1483"/>
      <c r="AL72" s="1483"/>
      <c r="AM72" s="1483"/>
      <c r="AN72" s="1483"/>
      <c r="AO72" s="1483"/>
      <c r="AP72" s="1483"/>
      <c r="AQ72" s="1483"/>
      <c r="AR72" s="1483"/>
      <c r="AS72" s="1483"/>
      <c r="AT72" s="1483"/>
      <c r="AU72" s="15"/>
      <c r="AV72" s="15"/>
      <c r="AW72" s="15"/>
      <c r="AX72" s="15"/>
      <c r="AY72" s="15"/>
      <c r="AZ72" s="15"/>
      <c r="BD72" s="1026" t="s">
        <v>743</v>
      </c>
      <c r="BE72" s="1027">
        <f>'Points System'!AF805</f>
        <v>10</v>
      </c>
    </row>
    <row r="73" spans="1:57" ht="13" customHeight="1">
      <c r="A73" s="1483"/>
      <c r="B73" s="1483"/>
      <c r="C73" s="1483"/>
      <c r="D73" s="1483"/>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1483"/>
      <c r="AC73" s="1483"/>
      <c r="AD73" s="1483"/>
      <c r="AE73" s="1483"/>
      <c r="AF73" s="1483"/>
      <c r="AG73" s="1483"/>
      <c r="AH73" s="1483"/>
      <c r="AI73" s="1483"/>
      <c r="AJ73" s="1483"/>
      <c r="AK73" s="1483"/>
      <c r="AL73" s="1483"/>
      <c r="AM73" s="1483"/>
      <c r="AN73" s="1483"/>
      <c r="AO73" s="1483"/>
      <c r="AP73" s="1483"/>
      <c r="AQ73" s="1483"/>
      <c r="AR73" s="1483"/>
      <c r="AS73" s="1483"/>
      <c r="AT73" s="1483"/>
      <c r="AU73" s="15"/>
      <c r="AV73" s="15"/>
      <c r="AW73" s="15"/>
      <c r="AX73" s="15"/>
      <c r="AY73" s="15"/>
      <c r="AZ73" s="15"/>
      <c r="BD73" s="1025" t="s">
        <v>744</v>
      </c>
      <c r="BE73" s="1027">
        <f>'Points System'!AF806</f>
        <v>20</v>
      </c>
    </row>
    <row r="74" spans="1:57" ht="13" customHeight="1">
      <c r="A74" s="1125"/>
      <c r="C74" s="1125"/>
      <c r="D74" s="1125"/>
      <c r="E74" s="1125"/>
      <c r="F74" s="1125"/>
      <c r="G74" s="1125"/>
      <c r="H74" s="1125"/>
      <c r="I74" s="1125"/>
      <c r="J74" s="1125"/>
      <c r="K74" s="1125"/>
      <c r="L74" s="1125"/>
      <c r="M74" s="1125"/>
      <c r="N74" s="1125"/>
      <c r="O74" s="1125"/>
      <c r="P74" s="1125"/>
      <c r="Q74" s="1125"/>
      <c r="R74" s="1125"/>
      <c r="S74" s="1125"/>
      <c r="T74" s="1125"/>
      <c r="U74" s="1125"/>
      <c r="V74" s="1125"/>
      <c r="W74" s="1125"/>
      <c r="X74" s="1125"/>
      <c r="Y74" s="1125"/>
      <c r="Z74" s="112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6" t="s">
        <v>745</v>
      </c>
      <c r="BE74" s="1027">
        <f>'Points System'!AF807</f>
        <v>10</v>
      </c>
    </row>
    <row r="75" spans="1:57" ht="13" customHeight="1">
      <c r="A75" s="1490" t="s">
        <v>746</v>
      </c>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5"/>
      <c r="AV75" s="15"/>
      <c r="AW75" s="15"/>
      <c r="AX75" s="15"/>
      <c r="AY75" s="15"/>
      <c r="AZ75" s="15"/>
      <c r="BD75" s="1025" t="s">
        <v>747</v>
      </c>
      <c r="BE75" s="1027">
        <f>'Points System'!AF808</f>
        <v>10</v>
      </c>
    </row>
    <row r="76" spans="1:57" ht="13" customHeight="1">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15"/>
      <c r="AV76" s="15"/>
      <c r="AW76" s="15"/>
      <c r="AX76" s="15"/>
      <c r="AY76" s="15"/>
      <c r="AZ76" s="13"/>
      <c r="BD76" s="1026" t="s">
        <v>748</v>
      </c>
      <c r="BE76" s="1027">
        <f>'Points System'!AF811</f>
        <v>10</v>
      </c>
    </row>
    <row r="77" spans="1:57" ht="13" customHeight="1">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15"/>
      <c r="AV77" s="15"/>
      <c r="AW77" s="15"/>
      <c r="AX77" s="15"/>
      <c r="AY77" s="15"/>
      <c r="AZ77" s="13"/>
      <c r="BD77" s="1025" t="s">
        <v>749</v>
      </c>
      <c r="BE77" s="1027">
        <f>'Points System'!AF812</f>
        <v>8</v>
      </c>
    </row>
    <row r="78" spans="1:57" ht="13" customHeight="1">
      <c r="C78" s="1125"/>
      <c r="D78" s="1125"/>
      <c r="E78" s="1125"/>
      <c r="F78" s="1125"/>
      <c r="G78" s="1125"/>
      <c r="H78" s="1125"/>
      <c r="I78" s="1125"/>
      <c r="J78" s="1125"/>
      <c r="K78" s="1125"/>
      <c r="L78" s="1125"/>
      <c r="M78" s="1125"/>
      <c r="N78" s="1125"/>
      <c r="O78" s="1125"/>
      <c r="P78" s="1125"/>
      <c r="Q78" s="1125"/>
      <c r="R78" s="1125"/>
      <c r="S78" s="1125"/>
      <c r="T78" s="1125"/>
      <c r="U78" s="1125"/>
      <c r="V78" s="1125"/>
      <c r="W78" s="1125"/>
      <c r="X78" s="1125"/>
      <c r="Y78" s="1125"/>
      <c r="Z78" s="112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6" t="s">
        <v>750</v>
      </c>
      <c r="BE78" s="1027">
        <f>'Points System'!AF814</f>
        <v>10</v>
      </c>
    </row>
    <row r="79" spans="1:57" ht="13" customHeight="1">
      <c r="A79" s="1221" t="s">
        <v>751</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5"/>
      <c r="AV79" s="15"/>
      <c r="AW79" s="15"/>
      <c r="AX79" s="15"/>
      <c r="AY79" s="15"/>
      <c r="AZ79" s="15"/>
      <c r="BD79" s="1025" t="s">
        <v>752</v>
      </c>
      <c r="BE79" s="1027">
        <f>'Points System'!AF815</f>
        <v>9</v>
      </c>
    </row>
    <row r="80" spans="1:57" ht="13"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5"/>
      <c r="AV80" s="15"/>
      <c r="AW80" s="15"/>
      <c r="AX80" s="15"/>
      <c r="AY80" s="15"/>
      <c r="AZ80" s="15"/>
      <c r="BD80" s="1026" t="s">
        <v>753</v>
      </c>
      <c r="BE80" s="1027">
        <f>'Points System'!AF817</f>
        <v>10</v>
      </c>
    </row>
    <row r="81" spans="1:57" ht="13"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5"/>
      <c r="AV81" s="15"/>
      <c r="AW81" s="15"/>
      <c r="AX81" s="15"/>
      <c r="AY81" s="15"/>
      <c r="AZ81" s="15"/>
      <c r="BD81" s="1025" t="s">
        <v>754</v>
      </c>
      <c r="BE81" s="1027">
        <f>'Points System'!AF818</f>
        <v>12</v>
      </c>
    </row>
    <row r="82" spans="1:57" ht="13" customHeight="1">
      <c r="A82" s="1125"/>
      <c r="C82" s="1125"/>
      <c r="D82" s="1125"/>
      <c r="E82" s="1125"/>
      <c r="F82" s="1125"/>
      <c r="G82" s="1125"/>
      <c r="H82" s="1125"/>
      <c r="I82" s="1125"/>
      <c r="J82" s="1125"/>
      <c r="K82" s="1125"/>
      <c r="L82" s="1125"/>
      <c r="M82" s="1125"/>
      <c r="N82" s="1125"/>
      <c r="O82" s="1125"/>
      <c r="P82" s="1125"/>
      <c r="Q82" s="1125"/>
      <c r="R82" s="1125"/>
      <c r="S82" s="1125"/>
      <c r="T82" s="1125"/>
      <c r="U82" s="1125"/>
      <c r="V82" s="1125"/>
      <c r="W82" s="1125"/>
      <c r="X82" s="1125"/>
      <c r="Y82" s="1125"/>
      <c r="Z82" s="112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6" t="s">
        <v>755</v>
      </c>
      <c r="BE82" s="1027">
        <f>'Points System'!AF819</f>
        <v>10</v>
      </c>
    </row>
    <row r="83" spans="1:57" ht="13" customHeight="1">
      <c r="A83" s="1221" t="s">
        <v>756</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5"/>
      <c r="AV83" s="15"/>
      <c r="AW83" s="15"/>
      <c r="AX83" s="15"/>
      <c r="AY83" s="15"/>
      <c r="AZ83" s="15"/>
      <c r="BD83" s="1025" t="s">
        <v>757</v>
      </c>
      <c r="BE83" s="1031">
        <f>'Tie Breaker'!H5</f>
        <v>1.1036139761107322</v>
      </c>
    </row>
    <row r="84" spans="1:57" ht="13"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5"/>
      <c r="AV84" s="15"/>
      <c r="AW84" s="15"/>
      <c r="AX84" s="15"/>
      <c r="AY84" s="15"/>
      <c r="AZ84" s="15"/>
      <c r="BD84" s="1026" t="s">
        <v>758</v>
      </c>
      <c r="BE84" s="1027" t="str">
        <f>Application!O153</f>
        <v>Redevelopment Program</v>
      </c>
    </row>
    <row r="85" spans="1:57" ht="13" customHeight="1">
      <c r="C85" s="1125"/>
      <c r="D85" s="1125"/>
      <c r="E85" s="1125"/>
      <c r="F85" s="1125"/>
      <c r="G85" s="1125"/>
      <c r="H85" s="1125"/>
      <c r="I85" s="1125"/>
      <c r="J85" s="1125"/>
      <c r="K85" s="1125"/>
      <c r="L85" s="1125"/>
      <c r="M85" s="1125"/>
      <c r="N85" s="1125"/>
      <c r="O85" s="1125"/>
      <c r="P85" s="1125"/>
      <c r="Q85" s="1125"/>
      <c r="R85" s="1125"/>
      <c r="S85" s="1125"/>
      <c r="T85" s="1125"/>
      <c r="U85" s="1125"/>
      <c r="V85" s="1125"/>
      <c r="W85" s="1125"/>
      <c r="X85" s="1125"/>
      <c r="Y85" s="1125"/>
      <c r="Z85" s="112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5" t="s">
        <v>759</v>
      </c>
      <c r="BE85" s="1027" t="str">
        <f>Application!O154</f>
        <v>William Aviera</v>
      </c>
    </row>
    <row r="86" spans="1:57" ht="13" customHeight="1">
      <c r="A86" s="1221" t="s">
        <v>760</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5"/>
      <c r="AV86" s="15"/>
      <c r="AW86" s="15"/>
      <c r="AX86" s="15"/>
      <c r="AY86" s="15"/>
      <c r="AZ86" s="15"/>
      <c r="BD86" s="1026" t="s">
        <v>761</v>
      </c>
      <c r="BE86" s="1027" t="str">
        <f>Application!O155</f>
        <v>City Manager</v>
      </c>
    </row>
    <row r="87" spans="1:57" ht="13"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5"/>
      <c r="AV87" s="15"/>
      <c r="AW87" s="15"/>
      <c r="AX87" s="15"/>
      <c r="AY87" s="15"/>
      <c r="AZ87" s="15"/>
      <c r="BD87" s="1025" t="s">
        <v>762</v>
      </c>
      <c r="BE87" s="1027" t="str">
        <f>Application!O156</f>
        <v>375 Fifth Street</v>
      </c>
    </row>
    <row r="88" spans="1:57" ht="13" customHeight="1">
      <c r="A88" s="1125"/>
      <c r="C88" s="1125"/>
      <c r="D88" s="1125"/>
      <c r="E88" s="1125"/>
      <c r="F88" s="1125"/>
      <c r="G88" s="1125"/>
      <c r="H88" s="1125"/>
      <c r="I88" s="1125"/>
      <c r="J88" s="1125"/>
      <c r="K88" s="1125"/>
      <c r="L88" s="1125"/>
      <c r="M88" s="1125"/>
      <c r="N88" s="1125"/>
      <c r="O88" s="1125"/>
      <c r="P88" s="1125"/>
      <c r="Q88" s="1125"/>
      <c r="R88" s="1125"/>
      <c r="S88" s="1125"/>
      <c r="T88" s="1125"/>
      <c r="U88" s="1125"/>
      <c r="V88" s="1125"/>
      <c r="W88" s="1125"/>
      <c r="X88" s="1125"/>
      <c r="Y88" s="1125"/>
      <c r="Z88" s="112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6" t="s">
        <v>763</v>
      </c>
      <c r="BE88" s="1027" t="str">
        <f>Application!O157</f>
        <v>Hollister</v>
      </c>
    </row>
    <row r="89" spans="1:57" ht="13" customHeight="1">
      <c r="A89" s="1498" t="s">
        <v>764</v>
      </c>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3"/>
      <c r="AV89" s="13"/>
      <c r="AW89" s="13"/>
      <c r="AX89" s="13"/>
      <c r="AY89" s="13"/>
      <c r="AZ89" s="15"/>
      <c r="BD89" s="1025" t="s">
        <v>765</v>
      </c>
      <c r="BE89" s="1027">
        <f>Application!O158</f>
        <v>95023</v>
      </c>
    </row>
    <row r="90" spans="1:57" ht="13" customHeight="1">
      <c r="A90" s="1498"/>
      <c r="B90" s="1498"/>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3"/>
      <c r="AV90" s="13"/>
      <c r="AW90" s="13"/>
      <c r="AX90" s="13"/>
      <c r="AY90" s="13"/>
      <c r="AZ90" s="15"/>
      <c r="BD90" s="1026" t="s">
        <v>766</v>
      </c>
      <c r="BE90" s="1027" t="str">
        <f>Application!H16</f>
        <v>CRP Baler Place LP</v>
      </c>
    </row>
    <row r="91" spans="1:57" ht="13" customHeight="1">
      <c r="A91" s="1125"/>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5" t="s">
        <v>767</v>
      </c>
      <c r="BE91" s="1027" t="str">
        <f>Application!M233</f>
        <v>122 East 42nd St, Suite 1903</v>
      </c>
    </row>
    <row r="92" spans="1:57" ht="13" customHeight="1">
      <c r="A92" s="1490" t="s">
        <v>768</v>
      </c>
      <c r="B92" s="1490"/>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1490"/>
      <c r="AM92" s="1490"/>
      <c r="AN92" s="1490"/>
      <c r="AO92" s="1490"/>
      <c r="AP92" s="1490"/>
      <c r="AQ92" s="1490"/>
      <c r="AR92" s="1490"/>
      <c r="AS92" s="1490"/>
      <c r="AT92" s="1490"/>
      <c r="AU92" s="15"/>
      <c r="AV92" s="15"/>
      <c r="AW92" s="15"/>
      <c r="AX92" s="15"/>
      <c r="AY92" s="15"/>
      <c r="AZ92" s="15"/>
      <c r="BD92" s="1026" t="s">
        <v>769</v>
      </c>
      <c r="BE92" s="1027" t="str">
        <f>Application!M234</f>
        <v>New York</v>
      </c>
    </row>
    <row r="93" spans="1:57" ht="13" customHeight="1">
      <c r="A93" s="1490"/>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1490"/>
      <c r="AM93" s="1490"/>
      <c r="AN93" s="1490"/>
      <c r="AO93" s="1490"/>
      <c r="AP93" s="1490"/>
      <c r="AQ93" s="1490"/>
      <c r="AR93" s="1490"/>
      <c r="AS93" s="1490"/>
      <c r="AT93" s="1490"/>
      <c r="AU93" s="15"/>
      <c r="AV93" s="15"/>
      <c r="AW93" s="15"/>
      <c r="AX93" s="15"/>
      <c r="AY93" s="15"/>
      <c r="AZ93" s="15"/>
      <c r="BD93" s="1025" t="s">
        <v>770</v>
      </c>
      <c r="BE93" s="1027" t="str">
        <f>Application!W234</f>
        <v>NY</v>
      </c>
    </row>
    <row r="94" spans="1:57" ht="13" customHeight="1">
      <c r="A94" s="1490"/>
      <c r="B94" s="1490"/>
      <c r="C94" s="1490"/>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490"/>
      <c r="AJ94" s="1490"/>
      <c r="AK94" s="1490"/>
      <c r="AL94" s="1490"/>
      <c r="AM94" s="1490"/>
      <c r="AN94" s="1490"/>
      <c r="AO94" s="1490"/>
      <c r="AP94" s="1490"/>
      <c r="AQ94" s="1490"/>
      <c r="AR94" s="1490"/>
      <c r="AS94" s="1490"/>
      <c r="AT94" s="1490"/>
      <c r="AU94" s="15"/>
      <c r="AV94" s="15"/>
      <c r="AW94" s="15"/>
      <c r="AX94" s="15"/>
      <c r="AY94" s="15"/>
      <c r="AZ94" s="15"/>
      <c r="BD94" s="1026" t="s">
        <v>771</v>
      </c>
      <c r="BE94" s="1027">
        <f>Application!AC234</f>
        <v>10168</v>
      </c>
    </row>
    <row r="95" spans="1:57" ht="13" customHeight="1">
      <c r="A95" s="1490"/>
      <c r="B95" s="1490"/>
      <c r="C95" s="14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490"/>
      <c r="AJ95" s="1490"/>
      <c r="AK95" s="1490"/>
      <c r="AL95" s="1490"/>
      <c r="AM95" s="1490"/>
      <c r="AN95" s="1490"/>
      <c r="AO95" s="1490"/>
      <c r="AP95" s="1490"/>
      <c r="AQ95" s="1490"/>
      <c r="AR95" s="1490"/>
      <c r="AS95" s="1490"/>
      <c r="AT95" s="1490"/>
      <c r="AU95" s="15"/>
      <c r="AV95" s="15"/>
      <c r="AW95" s="15"/>
      <c r="AX95" s="15"/>
      <c r="AY95" s="15"/>
      <c r="AZ95" s="15"/>
      <c r="BD95" s="1025" t="s">
        <v>772</v>
      </c>
      <c r="BE95" s="1027" t="str">
        <f>Application!M235</f>
        <v>Paul Salib</v>
      </c>
    </row>
    <row r="96" spans="1:57" ht="13" customHeight="1">
      <c r="A96" s="1490"/>
      <c r="B96" s="1490"/>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490"/>
      <c r="AJ96" s="1490"/>
      <c r="AK96" s="1490"/>
      <c r="AL96" s="1490"/>
      <c r="AM96" s="1490"/>
      <c r="AN96" s="1490"/>
      <c r="AO96" s="1490"/>
      <c r="AP96" s="1490"/>
      <c r="AQ96" s="1490"/>
      <c r="AR96" s="1490"/>
      <c r="AS96" s="1490"/>
      <c r="AT96" s="1490"/>
      <c r="AU96" s="15"/>
      <c r="AV96" s="15"/>
      <c r="AW96" s="15"/>
      <c r="AX96" s="15"/>
      <c r="AY96" s="15"/>
      <c r="AZ96" s="15"/>
      <c r="BD96" s="1026" t="s">
        <v>773</v>
      </c>
      <c r="BE96" s="1027" t="str">
        <f>Application!M237</f>
        <v>psalib@crpaffordable.com</v>
      </c>
    </row>
    <row r="97" spans="1:57" ht="13" customHeight="1">
      <c r="A97" s="1490"/>
      <c r="B97" s="1490"/>
      <c r="C97" s="14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15"/>
      <c r="AV97" s="15"/>
      <c r="AW97" s="15"/>
      <c r="AX97" s="15"/>
      <c r="AY97" s="15"/>
      <c r="AZ97" s="15"/>
      <c r="BD97" s="1025" t="s">
        <v>774</v>
      </c>
      <c r="BE97" s="1027" t="str">
        <f>Application!M248</f>
        <v>robertlaing@pswcdc.org</v>
      </c>
    </row>
    <row r="98" spans="1:57" ht="13" customHeight="1">
      <c r="A98" s="1490"/>
      <c r="B98" s="1490"/>
      <c r="C98" s="149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490"/>
      <c r="AJ98" s="1490"/>
      <c r="AK98" s="1490"/>
      <c r="AL98" s="1490"/>
      <c r="AM98" s="1490"/>
      <c r="AN98" s="1490"/>
      <c r="AO98" s="1490"/>
      <c r="AP98" s="1490"/>
      <c r="AQ98" s="1490"/>
      <c r="AR98" s="1490"/>
      <c r="AS98" s="1490"/>
      <c r="AT98" s="1490"/>
      <c r="AU98" s="15"/>
      <c r="AV98" s="15"/>
      <c r="AW98" s="15"/>
      <c r="AX98" s="15"/>
      <c r="AY98" s="15"/>
      <c r="AZ98" s="15"/>
      <c r="BD98" s="1026" t="s">
        <v>775</v>
      </c>
      <c r="BE98" s="1027" t="str">
        <f>Application!M256</f>
        <v>psalib@crpaffordable.com</v>
      </c>
    </row>
    <row r="99" spans="1:57" ht="13" customHeight="1">
      <c r="C99" s="1125"/>
      <c r="D99" s="1125"/>
      <c r="E99" s="1125"/>
      <c r="F99" s="1125"/>
      <c r="G99" s="1125"/>
      <c r="H99" s="1125"/>
      <c r="I99" s="1125"/>
      <c r="J99" s="1125"/>
      <c r="K99" s="1125"/>
      <c r="L99" s="1125"/>
      <c r="M99" s="1125"/>
      <c r="N99" s="1125"/>
      <c r="O99" s="1125"/>
      <c r="P99" s="1125"/>
      <c r="Q99" s="1125"/>
      <c r="R99" s="1125"/>
      <c r="S99" s="1125"/>
      <c r="T99" s="1125"/>
      <c r="U99" s="1125"/>
      <c r="V99" s="1125"/>
      <c r="W99" s="1125"/>
      <c r="X99" s="1125"/>
      <c r="Y99" s="1125"/>
      <c r="Z99" s="112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5" t="s">
        <v>776</v>
      </c>
      <c r="BE99" s="1027">
        <f>Application!M264</f>
        <v>0</v>
      </c>
    </row>
    <row r="100" spans="1:57" ht="13" customHeight="1">
      <c r="A100" s="1499" t="s">
        <v>777</v>
      </c>
      <c r="B100" s="1499"/>
      <c r="C100" s="1499"/>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c r="AI100" s="1499"/>
      <c r="AJ100" s="1499"/>
      <c r="AK100" s="1499"/>
      <c r="AL100" s="1499"/>
      <c r="AM100" s="1499"/>
      <c r="AN100" s="1499"/>
      <c r="AO100" s="1499"/>
      <c r="AP100" s="1499"/>
      <c r="AQ100" s="1499"/>
      <c r="AR100" s="1499"/>
      <c r="AS100" s="1499"/>
      <c r="AT100" s="1499"/>
      <c r="AU100" s="15"/>
      <c r="AV100" s="15"/>
      <c r="AW100" s="15"/>
      <c r="AX100" s="15"/>
      <c r="AY100" s="15"/>
      <c r="AZ100" s="15"/>
      <c r="BD100" s="1026" t="s">
        <v>778</v>
      </c>
      <c r="BE100" s="1027" t="str">
        <f>Application!L279</f>
        <v>ssterneck@crpaffordable.com</v>
      </c>
    </row>
    <row r="101" spans="1:57" ht="13" customHeight="1">
      <c r="A101" s="1499"/>
      <c r="B101" s="1499"/>
      <c r="C101" s="1499"/>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c r="AI101" s="1499"/>
      <c r="AJ101" s="1499"/>
      <c r="AK101" s="1499"/>
      <c r="AL101" s="1499"/>
      <c r="AM101" s="1499"/>
      <c r="AN101" s="1499"/>
      <c r="AO101" s="1499"/>
      <c r="AP101" s="1499"/>
      <c r="AQ101" s="1499"/>
      <c r="AR101" s="1499"/>
      <c r="AS101" s="1499"/>
      <c r="AT101" s="1499"/>
      <c r="AU101" s="15"/>
      <c r="AV101" s="15"/>
      <c r="AW101" s="15"/>
      <c r="AX101" s="15"/>
      <c r="AY101" s="15"/>
      <c r="AZ101" s="15"/>
      <c r="BD101" s="2" t="s">
        <v>779</v>
      </c>
      <c r="BE101">
        <f>'Sources and Uses Budget'!C105</f>
        <v>43095977</v>
      </c>
    </row>
    <row r="102" spans="1:57" ht="13" customHeight="1">
      <c r="A102" s="1499"/>
      <c r="B102" s="1499"/>
      <c r="C102" s="1499"/>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c r="AI102" s="1499"/>
      <c r="AJ102" s="1499"/>
      <c r="AK102" s="1499"/>
      <c r="AL102" s="1499"/>
      <c r="AM102" s="1499"/>
      <c r="AN102" s="1499"/>
      <c r="AO102" s="1499"/>
      <c r="AP102" s="1499"/>
      <c r="AQ102" s="1499"/>
      <c r="AR102" s="1499"/>
      <c r="AS102" s="1499"/>
      <c r="AT102" s="1499"/>
      <c r="AU102" s="15"/>
      <c r="AV102" s="15"/>
      <c r="AW102" s="15"/>
      <c r="AX102" s="15"/>
      <c r="AY102" s="15"/>
      <c r="AZ102" s="15"/>
      <c r="BD102" s="2" t="s">
        <v>780</v>
      </c>
      <c r="BE102" t="b">
        <f>T197="Yes"</f>
        <v>0</v>
      </c>
    </row>
    <row r="103" spans="1:57" ht="13" customHeight="1">
      <c r="A103" s="1499"/>
      <c r="B103" s="1499"/>
      <c r="C103" s="149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c r="AI103" s="1499"/>
      <c r="AJ103" s="1499"/>
      <c r="AK103" s="1499"/>
      <c r="AL103" s="1499"/>
      <c r="AM103" s="1499"/>
      <c r="AN103" s="1499"/>
      <c r="AO103" s="1499"/>
      <c r="AP103" s="1499"/>
      <c r="AQ103" s="1499"/>
      <c r="AR103" s="1499"/>
      <c r="AS103" s="1499"/>
      <c r="AT103" s="1499"/>
      <c r="AU103" s="15"/>
      <c r="AV103" s="15"/>
      <c r="AW103" s="15"/>
      <c r="AX103" s="15"/>
      <c r="AY103" s="15"/>
    </row>
    <row r="104" spans="1:57" ht="13" customHeight="1">
      <c r="C104" s="1125"/>
      <c r="D104" s="1125"/>
      <c r="E104" s="1125"/>
      <c r="F104" s="1125"/>
      <c r="G104" s="1125"/>
      <c r="H104" s="1125"/>
      <c r="I104" s="1125"/>
      <c r="J104" s="1125"/>
      <c r="K104" s="1125"/>
      <c r="L104" s="1125"/>
      <c r="M104" s="1125"/>
      <c r="N104" s="1125"/>
      <c r="O104" s="1125"/>
      <c r="P104" s="1125"/>
      <c r="Q104" s="1125"/>
      <c r="R104" s="1125"/>
      <c r="S104" s="1125"/>
      <c r="T104" s="1125"/>
      <c r="U104" s="1125"/>
      <c r="V104" s="1125"/>
      <c r="W104" s="1125"/>
      <c r="X104" s="1125"/>
      <c r="Y104" s="1125"/>
      <c r="Z104" s="112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3" customHeight="1">
      <c r="A105" s="1499" t="s">
        <v>781</v>
      </c>
      <c r="B105" s="1499"/>
      <c r="C105" s="1499"/>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1499"/>
      <c r="AJ105" s="1499"/>
      <c r="AK105" s="1499"/>
      <c r="AL105" s="1499"/>
      <c r="AM105" s="1499"/>
      <c r="AN105" s="1499"/>
      <c r="AO105" s="1499"/>
      <c r="AP105" s="1499"/>
      <c r="AQ105" s="1499"/>
      <c r="AR105" s="1499"/>
      <c r="AS105" s="1499"/>
      <c r="AT105" s="1499"/>
      <c r="AU105" s="15"/>
      <c r="AV105" s="15"/>
      <c r="AW105" s="15"/>
      <c r="AX105" s="15"/>
      <c r="AY105" s="15"/>
    </row>
    <row r="106" spans="1:57" ht="13" customHeight="1">
      <c r="A106" s="1499"/>
      <c r="B106" s="1499"/>
      <c r="C106" s="1499"/>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1499"/>
      <c r="AJ106" s="1499"/>
      <c r="AK106" s="1499"/>
      <c r="AL106" s="1499"/>
      <c r="AM106" s="1499"/>
      <c r="AN106" s="1499"/>
      <c r="AO106" s="1499"/>
      <c r="AP106" s="1499"/>
      <c r="AQ106" s="1499"/>
      <c r="AR106" s="1499"/>
      <c r="AS106" s="1499"/>
      <c r="AT106" s="1499"/>
      <c r="AU106" s="15"/>
      <c r="AV106" s="15"/>
      <c r="AW106" s="15"/>
      <c r="AX106" s="15"/>
      <c r="AY106" s="15"/>
    </row>
    <row r="107" spans="1:57" ht="13" customHeight="1">
      <c r="A107" s="368"/>
      <c r="C107" s="1125"/>
      <c r="D107" s="1125"/>
      <c r="E107" s="1125"/>
      <c r="F107" s="1125"/>
      <c r="G107" s="1125"/>
      <c r="H107" s="1125"/>
      <c r="I107" s="1125"/>
      <c r="J107" s="1125"/>
      <c r="K107" s="1125"/>
      <c r="L107" s="1125"/>
      <c r="M107" s="1125"/>
      <c r="N107" s="1125"/>
      <c r="O107" s="1125"/>
      <c r="P107" s="1125"/>
      <c r="Q107" s="1125"/>
      <c r="R107" s="1125"/>
      <c r="S107" s="1125"/>
      <c r="T107" s="1125"/>
      <c r="U107" s="1125"/>
      <c r="V107" s="1125"/>
      <c r="W107" s="1125"/>
      <c r="X107" s="1125"/>
      <c r="Y107" s="1125"/>
      <c r="Z107" s="112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3" customHeight="1">
      <c r="A108" s="368" t="s">
        <v>782</v>
      </c>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3" customHeight="1">
      <c r="C109" s="1125"/>
      <c r="D109" s="1125"/>
      <c r="E109" s="1125"/>
      <c r="F109" s="1125"/>
      <c r="G109" s="1125"/>
      <c r="H109" s="1125"/>
      <c r="I109" s="1125"/>
      <c r="J109" s="1125"/>
      <c r="K109" s="1125"/>
      <c r="L109" s="1125"/>
      <c r="M109" s="1125"/>
      <c r="N109" s="1125"/>
      <c r="O109" s="1125"/>
      <c r="P109" s="1125"/>
      <c r="Q109" s="1125"/>
      <c r="R109" s="1125"/>
      <c r="S109" s="1125"/>
      <c r="T109" s="1125"/>
      <c r="U109" s="1125"/>
      <c r="V109" s="1125"/>
      <c r="W109" s="1125"/>
      <c r="X109" s="1125"/>
      <c r="Y109" s="1125"/>
      <c r="Z109" s="112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3" customHeight="1">
      <c r="A110" s="368"/>
      <c r="C110" s="1125"/>
      <c r="D110" s="1125"/>
      <c r="E110" s="1125"/>
      <c r="F110" s="1125"/>
      <c r="G110" s="1125"/>
      <c r="H110" s="1125"/>
      <c r="I110" s="1125"/>
      <c r="J110" s="1125"/>
      <c r="K110" s="1125"/>
      <c r="L110" s="1125"/>
      <c r="M110" s="1125"/>
      <c r="N110" s="1125"/>
      <c r="O110" s="1125"/>
      <c r="P110" s="1125"/>
      <c r="Q110" s="1125"/>
      <c r="R110" s="1125"/>
      <c r="S110" s="1125"/>
      <c r="T110" s="1125"/>
      <c r="U110" s="1125"/>
      <c r="V110" s="1125"/>
      <c r="W110" s="1125"/>
      <c r="X110" s="1125"/>
      <c r="Y110" s="1125"/>
      <c r="Z110" s="112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3" customHeight="1">
      <c r="A111" s="368"/>
      <c r="C111" s="1125"/>
      <c r="D111" s="1125"/>
      <c r="E111" s="1125"/>
      <c r="F111" s="1125"/>
      <c r="G111" s="1125"/>
      <c r="H111" s="1125"/>
      <c r="I111" s="1125"/>
      <c r="J111" s="1125"/>
      <c r="K111" s="1125"/>
      <c r="L111" s="1125"/>
      <c r="M111" s="1125"/>
      <c r="N111" s="1125"/>
      <c r="O111" s="1125"/>
      <c r="P111" s="1125"/>
      <c r="Q111" s="1125"/>
      <c r="R111" s="1125"/>
      <c r="S111" s="1125"/>
      <c r="T111" s="1125"/>
      <c r="U111" s="1125"/>
      <c r="V111" s="1125"/>
      <c r="W111" s="1125"/>
      <c r="X111" s="1125"/>
      <c r="Y111" s="1125"/>
      <c r="Z111" s="112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 customHeight="1">
      <c r="A112" s="368"/>
      <c r="C112" s="1125"/>
      <c r="D112" s="1125"/>
      <c r="E112" s="1125"/>
      <c r="F112" s="1125"/>
      <c r="G112" s="1125"/>
      <c r="H112" s="1125"/>
      <c r="I112" s="1125"/>
      <c r="J112" s="1125"/>
      <c r="K112" s="1125"/>
      <c r="L112" s="1125"/>
      <c r="M112" s="1125"/>
      <c r="N112" s="1125"/>
      <c r="O112" s="1125"/>
      <c r="P112" s="1125"/>
      <c r="Q112" s="1125"/>
      <c r="R112" s="1125"/>
      <c r="S112" s="1125"/>
      <c r="T112" s="1125"/>
      <c r="U112" s="1125"/>
      <c r="V112" s="1125"/>
      <c r="W112" s="1125"/>
      <c r="X112" s="1125"/>
      <c r="Y112" s="1125"/>
      <c r="Z112" s="112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 customHeight="1">
      <c r="A113" s="174"/>
      <c r="C113" s="2" t="s">
        <v>783</v>
      </c>
      <c r="G113" s="1492">
        <v>23</v>
      </c>
      <c r="H113" s="1492"/>
      <c r="I113" s="2" t="s">
        <v>784</v>
      </c>
      <c r="L113" s="1492" t="s">
        <v>785</v>
      </c>
      <c r="M113" s="1492"/>
      <c r="N113" s="1492"/>
      <c r="O113" s="1492"/>
      <c r="P113" s="1506" t="s">
        <v>786</v>
      </c>
      <c r="Q113" s="1506"/>
      <c r="R113" s="1506"/>
      <c r="S113" s="1506"/>
      <c r="T113" s="1125"/>
      <c r="U113" s="1125"/>
      <c r="V113" s="1125"/>
      <c r="W113" s="1125"/>
      <c r="X113" s="1125"/>
      <c r="Y113" s="1125"/>
      <c r="Z113" s="112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 customHeight="1">
      <c r="M114" s="2"/>
      <c r="S114" s="2"/>
      <c r="T114" s="1125"/>
      <c r="U114" s="1125"/>
      <c r="V114" s="1125"/>
      <c r="W114" s="1125"/>
      <c r="X114" s="1125"/>
      <c r="Y114" s="1125"/>
      <c r="Z114" s="112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 customHeight="1">
      <c r="A115" s="1125"/>
      <c r="C115" s="1493"/>
      <c r="D115" s="1493"/>
      <c r="E115" s="1493"/>
      <c r="F115" s="1493"/>
      <c r="G115" s="1493"/>
      <c r="H115" s="1493"/>
      <c r="I115" s="1493"/>
      <c r="J115" s="1493"/>
      <c r="K115" s="1493"/>
      <c r="L115" s="111" t="s">
        <v>787</v>
      </c>
      <c r="S115" s="2"/>
      <c r="T115" s="1125"/>
      <c r="U115" s="1125"/>
      <c r="V115" s="1125"/>
      <c r="W115" s="1125"/>
      <c r="X115" s="1125"/>
      <c r="Y115" s="1125"/>
      <c r="Z115" s="112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 customHeight="1">
      <c r="A116" s="1125"/>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 customHeight="1">
      <c r="A117" s="1125"/>
      <c r="B117" s="17"/>
      <c r="C117" s="17"/>
      <c r="X117" s="2" t="s">
        <v>788</v>
      </c>
      <c r="Y117" s="1492"/>
      <c r="Z117" s="1492"/>
      <c r="AA117" s="1492"/>
      <c r="AB117" s="1492"/>
      <c r="AC117" s="1492"/>
      <c r="AD117" s="1492"/>
      <c r="AE117" s="1492"/>
      <c r="AF117" s="1492"/>
      <c r="AG117" s="1492"/>
      <c r="AH117" s="1492"/>
      <c r="AI117" s="1492"/>
      <c r="AJ117" s="1492"/>
      <c r="AK117" s="1492"/>
    </row>
    <row r="118" spans="1:117" ht="13" customHeight="1">
      <c r="X118" s="2"/>
      <c r="Y118" s="2"/>
      <c r="Z118" s="2" t="s">
        <v>789</v>
      </c>
      <c r="AA118" s="2"/>
      <c r="AB118" s="2"/>
      <c r="AC118" s="2"/>
      <c r="AD118" s="2"/>
      <c r="AE118" s="2"/>
      <c r="AF118" s="2"/>
      <c r="AG118" s="2"/>
      <c r="AH118" s="2"/>
      <c r="AI118" s="2"/>
      <c r="AJ118" s="2"/>
      <c r="AK118" s="2"/>
    </row>
    <row r="119" spans="1:117" ht="13" customHeight="1">
      <c r="A119" s="1125"/>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 customHeight="1">
      <c r="A120" s="1125"/>
      <c r="B120" s="2"/>
      <c r="P120" s="2"/>
      <c r="Q120" s="2"/>
      <c r="R120" s="2"/>
      <c r="S120" s="2"/>
      <c r="T120" s="2"/>
      <c r="U120" s="2"/>
      <c r="V120" s="2"/>
      <c r="W120" s="2"/>
      <c r="X120" s="2"/>
      <c r="Y120" s="1492" t="s">
        <v>790</v>
      </c>
      <c r="Z120" s="1492"/>
      <c r="AA120" s="1492"/>
      <c r="AB120" s="1492"/>
      <c r="AC120" s="1492"/>
      <c r="AD120" s="1492"/>
      <c r="AE120" s="1492"/>
      <c r="AF120" s="1492"/>
      <c r="AG120" s="1492"/>
      <c r="AH120" s="1492"/>
      <c r="AI120" s="1492"/>
      <c r="AJ120" s="1492"/>
      <c r="AK120" s="1492"/>
      <c r="AL120" s="2"/>
      <c r="AM120" s="2"/>
      <c r="AN120" s="2"/>
      <c r="AO120" s="2"/>
      <c r="AP120" s="2"/>
      <c r="AQ120" s="2"/>
      <c r="AR120" s="2"/>
      <c r="AS120" s="2"/>
      <c r="AT120" s="2"/>
      <c r="AU120" s="2"/>
      <c r="AV120" s="2"/>
      <c r="AW120" s="2"/>
      <c r="AX120" s="2"/>
      <c r="AY120" s="2"/>
    </row>
    <row r="121" spans="1:117" ht="13" customHeight="1">
      <c r="A121" s="2"/>
      <c r="B121" s="2"/>
      <c r="P121" s="2"/>
      <c r="Q121" s="2"/>
      <c r="R121" s="2"/>
      <c r="S121" s="2"/>
      <c r="T121" s="2"/>
      <c r="U121" s="2"/>
      <c r="V121" s="2"/>
      <c r="W121" s="2"/>
      <c r="X121" s="2"/>
      <c r="Y121" s="2"/>
      <c r="Z121" s="2" t="s">
        <v>791</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 customHeight="1">
      <c r="A122" s="2"/>
      <c r="B122" s="2"/>
      <c r="T122" s="2"/>
      <c r="U122" s="2"/>
      <c r="V122" s="2"/>
      <c r="W122" s="2"/>
      <c r="AL122" s="2"/>
      <c r="AM122" s="2"/>
      <c r="AN122" s="2"/>
      <c r="AO122" s="2"/>
      <c r="AP122" s="2"/>
      <c r="AQ122" s="2"/>
      <c r="AR122" s="2"/>
      <c r="AS122" s="2"/>
      <c r="AT122" s="2"/>
      <c r="AU122" s="2"/>
      <c r="AV122" s="2"/>
      <c r="AW122" s="2"/>
      <c r="AX122" s="2"/>
      <c r="AY122" s="2"/>
      <c r="CQ122" s="11" t="s">
        <v>792</v>
      </c>
      <c r="CR122" s="11"/>
      <c r="CS122" s="11"/>
      <c r="CT122" s="11"/>
      <c r="CU122" s="1632" t="s">
        <v>793</v>
      </c>
      <c r="CV122" s="1633"/>
      <c r="CW122" s="11"/>
      <c r="CX122" s="11" t="s">
        <v>794</v>
      </c>
      <c r="CY122" s="11"/>
      <c r="CZ122" s="11"/>
      <c r="DA122" s="11"/>
      <c r="DB122" s="11"/>
      <c r="DC122" s="11"/>
      <c r="DD122" s="11"/>
      <c r="DE122" s="11"/>
      <c r="DF122" s="11"/>
      <c r="DG122" s="1629" t="str">
        <f>T189</f>
        <v>San Benito</v>
      </c>
      <c r="DH122" s="1630"/>
      <c r="DI122" s="1630"/>
      <c r="DJ122" s="1630"/>
      <c r="DK122" s="1630"/>
      <c r="DL122" s="1630"/>
      <c r="DM122" s="1631"/>
    </row>
    <row r="123" spans="1:117" ht="13" customHeight="1">
      <c r="A123" s="2"/>
      <c r="B123" s="2"/>
      <c r="T123" s="2"/>
      <c r="U123" s="2"/>
      <c r="V123" s="2"/>
      <c r="W123" s="2"/>
      <c r="X123" s="2"/>
      <c r="Y123" s="1492" t="s">
        <v>795</v>
      </c>
      <c r="Z123" s="1492"/>
      <c r="AA123" s="1492"/>
      <c r="AB123" s="1492"/>
      <c r="AC123" s="1492"/>
      <c r="AD123" s="1492"/>
      <c r="AE123" s="1492"/>
      <c r="AF123" s="1492"/>
      <c r="AG123" s="1492"/>
      <c r="AH123" s="1492"/>
      <c r="AI123" s="1492"/>
      <c r="AJ123" s="1492"/>
      <c r="AK123" s="1492"/>
      <c r="AL123" s="2"/>
      <c r="AM123" s="2"/>
      <c r="AN123" s="2"/>
      <c r="AO123" s="2"/>
      <c r="AP123" s="2"/>
      <c r="AQ123" s="2"/>
      <c r="AR123" s="2"/>
      <c r="AS123" s="2"/>
      <c r="AT123" s="2"/>
      <c r="AU123" s="2"/>
      <c r="AV123" s="2"/>
      <c r="AW123" s="2"/>
      <c r="AX123" s="2"/>
      <c r="AY123" s="2"/>
      <c r="DJ123" s="2"/>
      <c r="DK123" s="2"/>
      <c r="DL123" s="2"/>
      <c r="DM123" s="2"/>
    </row>
    <row r="124" spans="1:117" ht="13" customHeight="1">
      <c r="A124" s="2"/>
      <c r="B124" s="2"/>
      <c r="T124" s="2"/>
      <c r="U124" s="2"/>
      <c r="V124" s="2"/>
      <c r="W124" s="2"/>
      <c r="X124" s="2"/>
      <c r="Y124" s="2"/>
      <c r="Z124" s="2" t="s">
        <v>796</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793</v>
      </c>
      <c r="CV124" s="11"/>
      <c r="CW124" s="11"/>
      <c r="CX124" s="11"/>
      <c r="CY124" s="11"/>
      <c r="CZ124" s="11"/>
      <c r="DA124" s="11"/>
      <c r="DB124" s="11"/>
      <c r="DE124" s="25"/>
      <c r="DF124" s="25"/>
      <c r="DG124" s="25"/>
      <c r="DH124" s="25"/>
      <c r="DI124" s="25"/>
      <c r="DJ124" s="11"/>
      <c r="DK124" s="11"/>
      <c r="DL124" s="11"/>
      <c r="DM124" s="11"/>
    </row>
    <row r="125" spans="1:117" ht="13"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797</v>
      </c>
      <c r="CV125" s="2"/>
      <c r="CW125" s="11"/>
      <c r="CX125" s="11"/>
      <c r="CY125" s="11"/>
      <c r="CZ125" s="11"/>
      <c r="DA125" s="11"/>
      <c r="DB125" s="11"/>
      <c r="DE125" s="2"/>
      <c r="DF125" s="2"/>
      <c r="DG125" s="2"/>
      <c r="DH125" s="2"/>
      <c r="DI125" s="2"/>
      <c r="DJ125" s="2"/>
      <c r="DK125" s="2"/>
      <c r="DL125" s="2"/>
      <c r="DM125" s="2"/>
    </row>
    <row r="126" spans="1:117" ht="13"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793</v>
      </c>
      <c r="DD127" s="2"/>
      <c r="DE127" s="2"/>
      <c r="DF127" s="2"/>
      <c r="DG127" s="2"/>
      <c r="DH127" s="2"/>
      <c r="DI127" s="2"/>
      <c r="DJ127" s="2"/>
      <c r="DK127" s="2"/>
      <c r="DL127" s="2"/>
      <c r="DM127" s="2"/>
    </row>
    <row r="128" spans="1:117" ht="13" customHeight="1">
      <c r="A128" s="1151"/>
      <c r="AL128" s="1151"/>
      <c r="AM128" s="1151"/>
      <c r="AN128" s="1151"/>
      <c r="AO128" s="1151"/>
      <c r="AP128" s="1151"/>
      <c r="AQ128" s="1151"/>
      <c r="AR128" s="1151"/>
      <c r="AS128" s="1151"/>
      <c r="AT128" s="1151"/>
      <c r="AU128" s="1151"/>
      <c r="AV128" s="1151"/>
      <c r="AW128" s="1151"/>
      <c r="AX128" s="1151"/>
      <c r="AY128" s="1151"/>
    </row>
    <row r="129" spans="1:51" ht="13" customHeight="1">
      <c r="A129" s="1151"/>
      <c r="B129" s="2"/>
      <c r="R129" s="1151"/>
      <c r="S129" s="1151"/>
      <c r="T129" s="1151"/>
      <c r="U129" s="1151"/>
      <c r="V129" s="1151"/>
      <c r="W129" s="1151"/>
      <c r="AL129" s="1151"/>
      <c r="AM129" s="1151"/>
      <c r="AN129" s="1151"/>
      <c r="AO129" s="1151"/>
      <c r="AP129" s="1151"/>
      <c r="AQ129" s="1151"/>
      <c r="AR129" s="1151"/>
      <c r="AS129" s="1151"/>
      <c r="AT129" s="1151"/>
      <c r="AU129" s="1151"/>
      <c r="AV129" s="1151"/>
      <c r="AW129" s="1151"/>
      <c r="AX129" s="1151"/>
      <c r="AY129" s="1151"/>
    </row>
    <row r="130" spans="1:51" ht="13" customHeight="1">
      <c r="A130" s="2"/>
      <c r="B130" s="68"/>
      <c r="C130" s="1151"/>
      <c r="R130" s="1151"/>
      <c r="S130" s="1151"/>
      <c r="T130" s="1151"/>
      <c r="U130" s="1151"/>
      <c r="V130" s="1151"/>
      <c r="W130" s="1151"/>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3" customHeight="1">
      <c r="A133" s="2"/>
      <c r="W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68"/>
      <c r="T139" s="1126"/>
      <c r="U139" s="1126"/>
      <c r="V139" s="1126"/>
      <c r="W139" s="1126"/>
      <c r="X139" s="1126"/>
      <c r="Y139" s="1126"/>
      <c r="Z139" s="1126"/>
      <c r="AA139" s="1126"/>
      <c r="AB139" s="1126"/>
      <c r="AC139" s="1126"/>
      <c r="AD139" s="1126"/>
      <c r="AE139" s="1126"/>
      <c r="AF139" s="1126"/>
      <c r="AG139" s="1126"/>
      <c r="AH139" s="1126"/>
      <c r="AI139" s="1126"/>
      <c r="AJ139" s="1126"/>
      <c r="AK139" s="2"/>
      <c r="AL139" s="2"/>
      <c r="AM139" s="2"/>
      <c r="AN139" s="2"/>
      <c r="AO139" s="2"/>
      <c r="AP139" s="2"/>
      <c r="AQ139" s="2"/>
      <c r="AR139" s="2"/>
      <c r="AS139" s="2"/>
      <c r="AT139" s="2"/>
      <c r="AU139" s="2"/>
      <c r="AV139" s="2"/>
      <c r="AW139" s="2"/>
      <c r="AX139" s="2"/>
      <c r="AY139" s="2"/>
    </row>
    <row r="140" spans="1:51" ht="13" customHeight="1">
      <c r="A140" s="2"/>
      <c r="B140" s="69"/>
      <c r="C140" s="1126"/>
      <c r="D140" s="1126"/>
      <c r="E140" s="1126"/>
      <c r="F140" s="1126"/>
      <c r="G140" s="1126"/>
      <c r="H140" s="1126"/>
      <c r="I140" s="1126"/>
      <c r="J140" s="1126"/>
      <c r="K140" s="1126"/>
      <c r="L140" s="1126"/>
      <c r="M140" s="1126"/>
      <c r="N140" s="1126"/>
      <c r="O140" s="1126"/>
      <c r="P140" s="1126"/>
      <c r="Q140" s="1126"/>
      <c r="R140" s="1126"/>
      <c r="S140" s="1126"/>
      <c r="T140" s="1126"/>
      <c r="U140" s="1126"/>
      <c r="V140" s="1126"/>
      <c r="W140" s="1126"/>
      <c r="X140" s="1126"/>
      <c r="Y140" s="1126"/>
      <c r="Z140" s="1126"/>
      <c r="AA140" s="1126"/>
      <c r="AB140" s="1126"/>
      <c r="AC140" s="1126"/>
      <c r="AD140" s="1126"/>
      <c r="AE140" s="1126"/>
      <c r="AF140" s="1126"/>
      <c r="AG140" s="1126"/>
      <c r="AH140" s="1126"/>
      <c r="AI140" s="1126"/>
      <c r="AJ140" s="1126"/>
      <c r="AK140" s="2"/>
      <c r="AL140" s="2"/>
      <c r="AM140" s="2"/>
      <c r="AN140" s="2"/>
      <c r="AO140" s="2"/>
      <c r="AP140" s="2"/>
      <c r="AQ140" s="2"/>
      <c r="AR140" s="2"/>
      <c r="AS140" s="2"/>
      <c r="AT140" s="2"/>
      <c r="AU140" s="2"/>
      <c r="AV140" s="2"/>
      <c r="AW140" s="2"/>
      <c r="AX140" s="2"/>
      <c r="AY140" s="2"/>
    </row>
    <row r="141" spans="1:51" ht="13" customHeight="1">
      <c r="A141" s="2"/>
      <c r="B141" s="69"/>
      <c r="C141" s="1126"/>
      <c r="D141" s="1126"/>
      <c r="E141" s="1126"/>
      <c r="F141" s="1126"/>
      <c r="G141" s="1126"/>
      <c r="H141" s="1126"/>
      <c r="I141" s="1126"/>
      <c r="J141" s="1126"/>
      <c r="K141" s="1126"/>
      <c r="L141" s="1126"/>
      <c r="M141" s="1126"/>
      <c r="N141" s="1126"/>
      <c r="O141" s="1126"/>
      <c r="P141" s="1126"/>
      <c r="Q141" s="1126"/>
      <c r="R141" s="1126"/>
      <c r="S141" s="1126"/>
      <c r="T141" s="1126"/>
      <c r="U141" s="1126"/>
      <c r="V141" s="1126"/>
      <c r="W141" s="1126"/>
      <c r="X141" s="1126"/>
      <c r="Y141" s="1126"/>
      <c r="Z141" s="1126"/>
      <c r="AA141" s="1126"/>
      <c r="AB141" s="1126"/>
      <c r="AC141" s="1126"/>
      <c r="AD141" s="1126"/>
      <c r="AE141" s="1126"/>
      <c r="AF141" s="1126"/>
      <c r="AG141" s="1126"/>
      <c r="AH141" s="1126"/>
      <c r="AI141" s="1126"/>
      <c r="AJ141" s="1126"/>
      <c r="AK141" s="2"/>
      <c r="AL141" s="2"/>
      <c r="AM141" s="2"/>
      <c r="AN141" s="2"/>
      <c r="AO141" s="2"/>
      <c r="AP141" s="2"/>
      <c r="AQ141" s="2"/>
      <c r="AR141" s="2"/>
      <c r="AS141" s="2"/>
      <c r="AT141" s="2"/>
      <c r="AU141" s="2"/>
      <c r="AV141" s="2"/>
      <c r="AW141" s="2"/>
      <c r="AX141" s="2"/>
      <c r="AY141" s="2"/>
    </row>
    <row r="142" spans="1:51" ht="13" customHeight="1">
      <c r="A142" s="2"/>
      <c r="B142" s="69"/>
      <c r="C142" s="1112"/>
      <c r="D142" s="1112"/>
      <c r="E142" s="1112"/>
      <c r="F142" s="1112"/>
      <c r="G142" s="1112"/>
      <c r="H142" s="1112"/>
      <c r="I142" s="1112"/>
      <c r="J142" s="1112"/>
      <c r="K142" s="1112"/>
      <c r="L142" s="1112"/>
      <c r="M142" s="1112"/>
      <c r="N142" s="1112"/>
      <c r="O142" s="1112"/>
      <c r="P142" s="1112"/>
      <c r="Q142" s="1112"/>
      <c r="R142" s="1112"/>
      <c r="S142" s="1112"/>
      <c r="T142" s="1112"/>
      <c r="U142" s="1112"/>
      <c r="V142" s="1112"/>
      <c r="W142" s="1112"/>
      <c r="X142" s="1112"/>
      <c r="Y142" s="1112"/>
      <c r="Z142" s="1112"/>
      <c r="AA142" s="1112"/>
      <c r="AB142" s="1112"/>
      <c r="AC142" s="1112"/>
      <c r="AD142" s="1112"/>
      <c r="AE142" s="1112"/>
      <c r="AF142" s="1112"/>
      <c r="AG142" s="1112"/>
      <c r="AH142" s="1112"/>
      <c r="AI142" s="1112"/>
      <c r="AJ142" s="1112"/>
      <c r="AK142" s="2"/>
      <c r="AL142" s="2"/>
      <c r="AM142" s="2"/>
      <c r="AN142" s="2"/>
      <c r="AO142" s="2"/>
      <c r="AP142" s="2"/>
      <c r="AQ142" s="2"/>
      <c r="AR142" s="2"/>
      <c r="AS142" s="2"/>
      <c r="AT142" s="2"/>
      <c r="AU142" s="2"/>
      <c r="AV142" s="2"/>
      <c r="AW142" s="2"/>
      <c r="AX142" s="2"/>
      <c r="AY142" s="2"/>
    </row>
    <row r="143" spans="1:51" ht="13" customHeight="1">
      <c r="A143" s="2"/>
      <c r="D143" s="1112"/>
      <c r="E143" s="1112"/>
      <c r="F143" s="1112"/>
      <c r="G143" s="1112"/>
      <c r="H143" s="1112"/>
      <c r="I143" s="1112"/>
      <c r="J143" s="1112"/>
      <c r="K143" s="1112"/>
      <c r="L143" s="1112"/>
      <c r="M143" s="1112"/>
      <c r="N143" s="1112"/>
      <c r="O143" s="1112"/>
      <c r="P143" s="1112"/>
      <c r="Q143" s="1112"/>
      <c r="R143" s="1112"/>
      <c r="S143" s="1112"/>
      <c r="T143" s="1112"/>
      <c r="U143" s="1112"/>
      <c r="V143" s="1112"/>
      <c r="W143" s="1112"/>
      <c r="X143" s="1112"/>
      <c r="Y143" s="1112"/>
      <c r="Z143" s="1112"/>
      <c r="AA143" s="1112"/>
      <c r="AB143" s="1112"/>
      <c r="AC143" s="1112"/>
      <c r="AD143" s="1112"/>
      <c r="AE143" s="1112"/>
      <c r="AF143" s="1112"/>
      <c r="AG143" s="1112"/>
      <c r="AH143" s="1112"/>
      <c r="AI143" s="1112"/>
      <c r="AJ143" s="1112"/>
      <c r="AK143" s="2"/>
      <c r="AL143" s="2"/>
      <c r="AM143" s="2"/>
      <c r="AN143" s="2"/>
      <c r="AO143" s="2"/>
      <c r="AP143" s="2"/>
      <c r="AQ143" s="2"/>
      <c r="AR143" s="2"/>
      <c r="AS143" s="2"/>
      <c r="AT143" s="2"/>
      <c r="AU143" s="2"/>
      <c r="AV143" s="2"/>
      <c r="AW143" s="2"/>
      <c r="AX143" s="2"/>
      <c r="AY143" s="2"/>
    </row>
    <row r="144" spans="1:51" ht="13" customHeight="1">
      <c r="A144" s="2"/>
      <c r="B144" s="1125"/>
      <c r="C144" s="1112"/>
      <c r="D144" s="1112"/>
      <c r="E144" s="1112"/>
      <c r="F144" s="1112"/>
      <c r="G144" s="1112"/>
      <c r="H144" s="1112"/>
      <c r="I144" s="1112"/>
      <c r="J144" s="111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2"/>
      <c r="AJ144" s="1112"/>
      <c r="AK144" s="2"/>
      <c r="AL144" s="2"/>
      <c r="AM144" s="2"/>
      <c r="AN144" s="2"/>
      <c r="AO144" s="2"/>
      <c r="AP144" s="2"/>
      <c r="AQ144" s="2"/>
      <c r="AR144" s="2"/>
      <c r="AS144" s="2"/>
      <c r="AT144" s="2"/>
      <c r="AU144" s="2"/>
      <c r="AV144" s="2"/>
      <c r="AW144" s="2"/>
      <c r="AX144" s="2"/>
      <c r="AY144" s="2"/>
    </row>
    <row r="145" spans="1:108" ht="13" customHeight="1">
      <c r="A145" s="2"/>
      <c r="B145" s="2"/>
      <c r="C145" s="1112"/>
      <c r="D145" s="1112"/>
      <c r="E145" s="1112"/>
      <c r="F145" s="1112"/>
      <c r="G145" s="1112"/>
      <c r="H145" s="1112"/>
      <c r="I145" s="1112"/>
      <c r="J145" s="111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2"/>
      <c r="AJ145" s="1112"/>
      <c r="AK145" s="2"/>
      <c r="AL145" s="2"/>
      <c r="AM145" s="2"/>
      <c r="AN145" s="2"/>
      <c r="AO145" s="2"/>
      <c r="AP145" s="2"/>
      <c r="AQ145" s="2"/>
      <c r="AR145" s="2"/>
      <c r="AS145" s="2"/>
      <c r="AT145" s="2"/>
      <c r="AU145" s="2"/>
      <c r="AV145" s="2"/>
      <c r="AW145" s="2"/>
      <c r="AX145" s="2"/>
      <c r="AY145" s="2"/>
    </row>
    <row r="146" spans="1:108" ht="13" customHeight="1">
      <c r="A146" s="2"/>
      <c r="D146" s="1112"/>
      <c r="E146" s="1112"/>
      <c r="F146" s="1112"/>
      <c r="G146" s="1112"/>
      <c r="H146" s="1112"/>
      <c r="I146" s="1112"/>
      <c r="J146" s="111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2"/>
      <c r="AJ146" s="1112"/>
      <c r="AK146" s="2"/>
      <c r="AL146" s="2"/>
      <c r="AM146" s="2"/>
      <c r="AN146" s="2"/>
      <c r="AO146" s="2"/>
      <c r="AP146" s="2"/>
      <c r="AQ146" s="2"/>
      <c r="AR146" s="2"/>
      <c r="AS146" s="2"/>
      <c r="AT146" s="2"/>
      <c r="AU146" s="2"/>
      <c r="AV146" s="2"/>
      <c r="AW146" s="2"/>
      <c r="AX146" s="2"/>
      <c r="AY146" s="2"/>
    </row>
    <row r="147" spans="1:108" ht="13" customHeight="1">
      <c r="A147" s="2"/>
      <c r="B147" s="11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BN147" s="2" t="s">
        <v>547</v>
      </c>
    </row>
    <row r="148" spans="1:108"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t="s">
        <v>798</v>
      </c>
    </row>
    <row r="149" spans="1:108"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799</v>
      </c>
    </row>
    <row r="150" spans="1:108" ht="13" customHeight="1">
      <c r="A150" s="2"/>
      <c r="B150" s="2"/>
      <c r="D150" s="2"/>
      <c r="E150" s="2"/>
      <c r="F150" s="1357"/>
      <c r="G150" s="1357"/>
      <c r="H150" s="1357"/>
      <c r="I150" s="1357"/>
      <c r="J150" s="1357"/>
      <c r="K150" s="1357"/>
      <c r="L150" s="1357"/>
      <c r="M150" s="1357"/>
      <c r="N150" s="1357"/>
      <c r="O150" s="1357"/>
      <c r="P150" s="1357"/>
      <c r="Q150" s="1357"/>
      <c r="R150" s="1357"/>
      <c r="S150" s="1357"/>
      <c r="T150" s="1357"/>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 customHeight="1">
      <c r="A151" s="2"/>
      <c r="B151" s="2"/>
      <c r="D151" s="2"/>
      <c r="E151" s="2"/>
      <c r="F151" s="1146"/>
      <c r="G151" s="1146"/>
      <c r="H151" s="1146"/>
      <c r="I151" s="1146"/>
      <c r="J151" s="1146"/>
      <c r="K151" s="1146"/>
      <c r="L151" s="1146"/>
      <c r="M151" s="1146"/>
      <c r="N151" s="1146"/>
      <c r="O151" s="1146"/>
      <c r="P151" s="1146"/>
      <c r="Q151" s="1146"/>
      <c r="R151" s="1146"/>
      <c r="S151" s="1146"/>
      <c r="T151" s="114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800</v>
      </c>
    </row>
    <row r="152" spans="1:108" ht="13" customHeight="1">
      <c r="BM152">
        <v>4</v>
      </c>
      <c r="BN152" s="2" t="s">
        <v>801</v>
      </c>
    </row>
    <row r="153" spans="1:108" ht="13" customHeight="1">
      <c r="D153" t="s">
        <v>802</v>
      </c>
      <c r="O153" s="1472" t="s">
        <v>803</v>
      </c>
      <c r="P153" s="1472"/>
      <c r="Q153" s="1472"/>
      <c r="R153" s="1472"/>
      <c r="S153" s="1472"/>
      <c r="T153" s="1472"/>
      <c r="U153" s="1472"/>
      <c r="V153" s="1472"/>
      <c r="W153" s="1472"/>
      <c r="X153" s="1472"/>
      <c r="Y153" s="1472"/>
      <c r="Z153" s="1472"/>
      <c r="AA153" s="1472"/>
      <c r="AB153" s="1472"/>
      <c r="AC153" s="1472"/>
      <c r="AD153" s="1472"/>
      <c r="AE153" s="1472"/>
      <c r="AF153" s="1472"/>
      <c r="AG153" s="1472"/>
      <c r="AH153" s="1472"/>
      <c r="BM153">
        <v>5</v>
      </c>
      <c r="BN153" s="2" t="s">
        <v>804</v>
      </c>
      <c r="CR153" s="24" t="s">
        <v>805</v>
      </c>
      <c r="CS153" s="25"/>
      <c r="CT153" s="25"/>
      <c r="CU153" s="25"/>
      <c r="CV153" s="25"/>
      <c r="CW153" s="25"/>
      <c r="CX153" s="11"/>
      <c r="CY153" s="24" t="s">
        <v>806</v>
      </c>
      <c r="CZ153" s="11"/>
      <c r="DA153" s="11"/>
      <c r="DB153" s="11"/>
      <c r="DC153" s="11"/>
      <c r="DD153" s="11"/>
    </row>
    <row r="154" spans="1:108" ht="13" customHeight="1">
      <c r="D154" s="185" t="s">
        <v>807</v>
      </c>
      <c r="O154" s="1423" t="s">
        <v>808</v>
      </c>
      <c r="P154" s="1423"/>
      <c r="Q154" s="1423"/>
      <c r="R154" s="1423"/>
      <c r="S154" s="1423"/>
      <c r="T154" s="1423"/>
      <c r="U154" s="1423"/>
      <c r="V154" s="1423"/>
      <c r="W154" s="1423"/>
      <c r="X154" s="1423"/>
      <c r="Y154" s="1423"/>
      <c r="Z154" s="1423"/>
      <c r="AA154" s="1423"/>
      <c r="AB154" s="1423"/>
      <c r="AC154" s="1423"/>
      <c r="AD154" s="1423"/>
      <c r="AE154" s="1423"/>
      <c r="AF154" s="1423"/>
      <c r="AG154" s="1423"/>
      <c r="AH154" s="1423"/>
      <c r="BM154">
        <v>6</v>
      </c>
      <c r="BN154" s="2" t="s">
        <v>809</v>
      </c>
      <c r="CR154" s="24"/>
      <c r="CS154" s="25"/>
      <c r="CT154" s="25"/>
      <c r="CU154" s="25"/>
      <c r="CV154" s="25"/>
      <c r="CW154" s="25"/>
      <c r="CX154" s="11"/>
      <c r="CY154" s="24"/>
      <c r="CZ154" s="11"/>
      <c r="DA154" s="11"/>
      <c r="DB154" s="11"/>
      <c r="DC154" s="11"/>
      <c r="DD154" s="11"/>
    </row>
    <row r="155" spans="1:108" ht="13" customHeight="1">
      <c r="D155" s="6" t="s">
        <v>810</v>
      </c>
      <c r="F155" s="6"/>
      <c r="G155" s="6"/>
      <c r="H155" s="6"/>
      <c r="I155" s="6"/>
      <c r="J155" s="6"/>
      <c r="K155" s="6"/>
      <c r="L155" s="6"/>
      <c r="M155" s="6"/>
      <c r="N155" s="6"/>
      <c r="O155" s="1480" t="s">
        <v>811</v>
      </c>
      <c r="P155" s="1480"/>
      <c r="Q155" s="1480"/>
      <c r="R155" s="1480"/>
      <c r="S155" s="1480"/>
      <c r="T155" s="1480"/>
      <c r="U155" s="1480"/>
      <c r="V155" s="1480"/>
      <c r="W155" s="1480"/>
      <c r="X155" s="1480"/>
      <c r="Y155" s="1480"/>
      <c r="Z155" s="1480"/>
      <c r="AA155" s="1480"/>
      <c r="AB155" s="1480"/>
      <c r="AC155" s="1480"/>
      <c r="AD155" s="1480"/>
      <c r="AE155" s="1480"/>
      <c r="AF155" s="1480"/>
      <c r="AG155" s="1480"/>
      <c r="AH155" s="1480"/>
      <c r="BM155">
        <v>7</v>
      </c>
      <c r="CR155" s="24"/>
      <c r="CS155" s="25"/>
      <c r="CT155" s="25"/>
      <c r="CU155" s="25"/>
      <c r="CV155" s="25"/>
      <c r="CW155" s="25"/>
      <c r="CX155" s="11"/>
      <c r="CY155" s="24"/>
      <c r="CZ155" s="11"/>
      <c r="DA155" s="11"/>
      <c r="DB155" s="11"/>
      <c r="DC155" s="11"/>
      <c r="DD155" s="11"/>
    </row>
    <row r="156" spans="1:108" ht="13" customHeight="1">
      <c r="D156" t="s">
        <v>812</v>
      </c>
      <c r="O156" s="1359" t="s">
        <v>813</v>
      </c>
      <c r="P156" s="1359"/>
      <c r="Q156" s="1359"/>
      <c r="R156" s="1359"/>
      <c r="S156" s="1359"/>
      <c r="T156" s="1359"/>
      <c r="U156" s="1359"/>
      <c r="V156" s="1359"/>
      <c r="W156" s="1359"/>
      <c r="X156" s="1359"/>
      <c r="Y156" s="1359"/>
      <c r="Z156" s="1359"/>
      <c r="AA156" s="1359"/>
      <c r="AB156" s="1359"/>
      <c r="AC156" s="1359"/>
      <c r="AD156" s="1359"/>
      <c r="AE156" s="1359"/>
      <c r="AF156" s="1359"/>
      <c r="AG156" s="1359"/>
      <c r="AH156" s="1359"/>
      <c r="BT156" t="s">
        <v>547</v>
      </c>
      <c r="CB156" s="108" t="s">
        <v>814</v>
      </c>
      <c r="CC156" s="109"/>
      <c r="CD156" s="109"/>
      <c r="CE156" s="109"/>
      <c r="CF156" s="109"/>
      <c r="CG156" s="109"/>
      <c r="CH156" s="109"/>
      <c r="CI156" s="2"/>
      <c r="CJ156" s="108" t="s">
        <v>815</v>
      </c>
      <c r="CK156" s="2"/>
      <c r="CL156" s="2"/>
      <c r="CM156" s="2"/>
      <c r="CN156" s="2"/>
      <c r="CR156" s="24"/>
      <c r="CS156" s="25"/>
      <c r="CT156" s="25"/>
      <c r="CU156" s="25"/>
      <c r="CV156" s="25"/>
      <c r="CW156" s="25"/>
      <c r="CX156" s="11"/>
      <c r="CY156" s="24"/>
      <c r="CZ156" s="11"/>
      <c r="DA156" s="11"/>
      <c r="DB156" s="11"/>
      <c r="DC156" s="11"/>
      <c r="DD156" s="11"/>
    </row>
    <row r="157" spans="1:108" ht="13" customHeight="1">
      <c r="D157" t="s">
        <v>816</v>
      </c>
      <c r="O157" s="1472" t="s">
        <v>817</v>
      </c>
      <c r="P157" s="1472"/>
      <c r="Q157" s="1472"/>
      <c r="R157" s="1472"/>
      <c r="S157" s="1472"/>
      <c r="T157" s="1472"/>
      <c r="U157" s="1472"/>
      <c r="V157" s="1472"/>
      <c r="W157" s="1472"/>
      <c r="X157" s="1472"/>
      <c r="Y157" s="6"/>
      <c r="Z157" s="6"/>
      <c r="AA157" s="6"/>
      <c r="AB157" s="6"/>
      <c r="AC157" s="6"/>
      <c r="AD157" s="6"/>
      <c r="AE157" s="6"/>
      <c r="AF157" s="6"/>
      <c r="BN157" s="110" t="s">
        <v>818</v>
      </c>
      <c r="BS157">
        <v>2</v>
      </c>
      <c r="BT157" t="s">
        <v>819</v>
      </c>
      <c r="CB157" s="171" t="s">
        <v>820</v>
      </c>
      <c r="CC157" s="109"/>
      <c r="CD157" s="109"/>
      <c r="CE157" s="109"/>
      <c r="CF157" s="109"/>
      <c r="CG157" s="109"/>
      <c r="CH157" s="109"/>
      <c r="CI157" s="2"/>
      <c r="CJ157" s="171" t="s">
        <v>821</v>
      </c>
      <c r="CK157" s="2"/>
      <c r="CL157" s="2"/>
      <c r="CM157" s="2"/>
      <c r="CN157" s="2"/>
      <c r="CR157" s="11"/>
      <c r="CS157" s="25"/>
      <c r="CT157" s="25"/>
      <c r="CU157" s="25"/>
      <c r="CV157" s="25"/>
      <c r="CW157" s="25"/>
      <c r="CX157" s="11"/>
      <c r="CY157" s="11"/>
      <c r="CZ157" s="11"/>
      <c r="DA157" s="11"/>
      <c r="DB157" s="11"/>
      <c r="DC157" s="11"/>
      <c r="DD157" s="11"/>
    </row>
    <row r="158" spans="1:108" ht="13" customHeight="1">
      <c r="D158" t="s">
        <v>822</v>
      </c>
      <c r="O158" s="1502">
        <v>95023</v>
      </c>
      <c r="P158" s="1502"/>
      <c r="Q158" s="1502"/>
      <c r="R158" s="1502"/>
      <c r="S158" s="7"/>
      <c r="T158" s="7"/>
      <c r="U158" s="7"/>
      <c r="V158" s="7"/>
      <c r="W158" s="7"/>
      <c r="X158" s="7"/>
      <c r="Y158" s="7"/>
      <c r="Z158" s="7"/>
      <c r="AA158" s="7"/>
      <c r="AB158" s="7"/>
      <c r="AC158" s="7"/>
      <c r="AD158" s="7"/>
      <c r="AE158" s="7"/>
      <c r="AF158" s="7"/>
      <c r="BN158" s="110" t="s">
        <v>823</v>
      </c>
      <c r="BS158">
        <v>7</v>
      </c>
      <c r="BT158" t="s">
        <v>824</v>
      </c>
      <c r="CB158" s="1033"/>
      <c r="CC158" s="1034"/>
      <c r="CD158" s="1035"/>
      <c r="CE158" s="1035"/>
      <c r="CF158" s="1035"/>
      <c r="CG158" s="1035"/>
      <c r="CH158" s="1035"/>
      <c r="CI158" s="2"/>
      <c r="CJ158" s="2"/>
      <c r="CK158" s="2"/>
      <c r="CL158" s="2"/>
      <c r="CM158" s="2"/>
      <c r="CN158" s="2"/>
      <c r="CR158" s="11"/>
      <c r="CS158" s="25"/>
      <c r="CT158" s="25"/>
      <c r="CU158" s="25"/>
      <c r="CV158" s="25"/>
      <c r="CW158" s="25"/>
      <c r="CX158" s="11"/>
      <c r="CY158" s="11"/>
      <c r="CZ158" s="11"/>
      <c r="DA158" s="11"/>
      <c r="DB158" s="11"/>
      <c r="DC158" s="11"/>
      <c r="DD158" s="11"/>
    </row>
    <row r="159" spans="1:108" ht="13" customHeight="1" thickBot="1">
      <c r="D159" t="s">
        <v>825</v>
      </c>
      <c r="O159" s="1497" t="s">
        <v>826</v>
      </c>
      <c r="P159" s="1497"/>
      <c r="Q159" s="1497"/>
      <c r="R159" s="1497"/>
      <c r="S159" s="1497"/>
      <c r="T159" s="1497"/>
      <c r="V159" s="56" t="s">
        <v>827</v>
      </c>
      <c r="W159" s="1503"/>
      <c r="X159" s="1503"/>
      <c r="Y159" s="8"/>
      <c r="Z159" s="8"/>
      <c r="AA159" s="8"/>
      <c r="AB159" s="8"/>
      <c r="AC159" s="8"/>
      <c r="AD159" s="8"/>
      <c r="AE159" s="8"/>
      <c r="AF159" s="8"/>
      <c r="BN159" s="110" t="s">
        <v>828</v>
      </c>
      <c r="BS159">
        <v>7</v>
      </c>
      <c r="BT159" t="s">
        <v>829</v>
      </c>
      <c r="CB159" s="221" t="s">
        <v>830</v>
      </c>
      <c r="CC159" s="222" t="s">
        <v>831</v>
      </c>
      <c r="CD159" s="222" t="s">
        <v>832</v>
      </c>
      <c r="CE159" s="222" t="s">
        <v>833</v>
      </c>
      <c r="CF159" s="222" t="s">
        <v>834</v>
      </c>
      <c r="CG159" s="222" t="s">
        <v>835</v>
      </c>
      <c r="CH159" s="222" t="s">
        <v>836</v>
      </c>
      <c r="CI159" s="2"/>
      <c r="CJ159" s="222" t="s">
        <v>831</v>
      </c>
      <c r="CK159" s="222" t="s">
        <v>832</v>
      </c>
      <c r="CL159" s="222" t="s">
        <v>833</v>
      </c>
      <c r="CM159" s="222" t="s">
        <v>834</v>
      </c>
      <c r="CN159" s="222" t="s">
        <v>835</v>
      </c>
      <c r="CR159" s="11"/>
      <c r="CS159" s="1036" t="s">
        <v>837</v>
      </c>
      <c r="CT159" s="1037" t="s">
        <v>832</v>
      </c>
      <c r="CU159" s="1037" t="s">
        <v>833</v>
      </c>
      <c r="CV159" s="1037" t="s">
        <v>834</v>
      </c>
      <c r="CW159" s="1037" t="s">
        <v>838</v>
      </c>
      <c r="CX159" s="11"/>
      <c r="CY159" s="11"/>
      <c r="CZ159" s="1036" t="s">
        <v>837</v>
      </c>
      <c r="DA159" s="1037" t="s">
        <v>832</v>
      </c>
      <c r="DB159" s="1037" t="s">
        <v>833</v>
      </c>
      <c r="DC159" s="1037" t="s">
        <v>834</v>
      </c>
      <c r="DD159" s="1037" t="s">
        <v>838</v>
      </c>
    </row>
    <row r="160" spans="1:108" ht="13" customHeight="1">
      <c r="D160" t="s">
        <v>839</v>
      </c>
      <c r="O160" s="1497" t="s">
        <v>840</v>
      </c>
      <c r="P160" s="1497"/>
      <c r="Q160" s="1497"/>
      <c r="R160" s="1497"/>
      <c r="S160" s="1497"/>
      <c r="T160" s="1497"/>
      <c r="U160" s="8"/>
      <c r="V160" s="8"/>
      <c r="W160" s="8"/>
      <c r="X160" s="8"/>
      <c r="Y160" s="8"/>
      <c r="Z160" s="8"/>
      <c r="AA160" s="8"/>
      <c r="AB160" s="8"/>
      <c r="AC160" s="8"/>
      <c r="AD160" s="8"/>
      <c r="AE160" s="8"/>
      <c r="AF160" s="8"/>
      <c r="BN160" s="110" t="s">
        <v>841</v>
      </c>
      <c r="BS160">
        <v>6</v>
      </c>
      <c r="BT160" t="s">
        <v>842</v>
      </c>
      <c r="CB160" s="223" t="s">
        <v>819</v>
      </c>
      <c r="CC160" s="313">
        <v>2724</v>
      </c>
      <c r="CD160" s="314">
        <v>2920</v>
      </c>
      <c r="CE160" s="315">
        <v>3504</v>
      </c>
      <c r="CF160" s="314">
        <v>4048</v>
      </c>
      <c r="CG160" s="315">
        <v>4516</v>
      </c>
      <c r="CH160" s="316">
        <v>4982</v>
      </c>
      <c r="CI160" s="2"/>
      <c r="CJ160" s="683">
        <v>1825</v>
      </c>
      <c r="CK160" s="683">
        <v>2131</v>
      </c>
      <c r="CL160" s="683">
        <v>2590</v>
      </c>
      <c r="CM160" s="683">
        <v>3342</v>
      </c>
      <c r="CN160" s="683">
        <v>3954</v>
      </c>
      <c r="CR160" s="110" t="s">
        <v>818</v>
      </c>
      <c r="CS160" s="202">
        <v>473390</v>
      </c>
      <c r="CT160" s="202">
        <v>545814</v>
      </c>
      <c r="CU160" s="202">
        <v>658400</v>
      </c>
      <c r="CV160" s="202">
        <v>842752</v>
      </c>
      <c r="CW160" s="202">
        <v>938878</v>
      </c>
      <c r="CX160" s="11"/>
      <c r="CY160" s="110" t="s">
        <v>818</v>
      </c>
      <c r="CZ160" s="202">
        <v>473390</v>
      </c>
      <c r="DA160" s="202">
        <v>545814</v>
      </c>
      <c r="DB160" s="202">
        <v>658400</v>
      </c>
      <c r="DC160" s="202">
        <v>842752</v>
      </c>
      <c r="DD160" s="202">
        <v>938878</v>
      </c>
    </row>
    <row r="161" spans="1:108" ht="13" customHeight="1">
      <c r="D161" t="s">
        <v>843</v>
      </c>
      <c r="O161" s="1486" t="s">
        <v>844</v>
      </c>
      <c r="P161" s="1486"/>
      <c r="Q161" s="1486"/>
      <c r="R161" s="1486"/>
      <c r="S161" s="1486"/>
      <c r="T161" s="1486"/>
      <c r="U161" s="1486"/>
      <c r="V161" s="1486"/>
      <c r="W161" s="1486"/>
      <c r="X161" s="1486"/>
      <c r="Y161" s="1486"/>
      <c r="Z161" s="1486"/>
      <c r="AA161" s="1486"/>
      <c r="AB161" s="1486"/>
      <c r="AC161" s="1486"/>
      <c r="AD161" s="1486"/>
      <c r="AE161" s="1486"/>
      <c r="AF161" s="1486"/>
      <c r="AG161" s="1486"/>
      <c r="AH161" s="1486"/>
      <c r="BJ161" t="s">
        <v>694</v>
      </c>
      <c r="BN161" s="110" t="s">
        <v>845</v>
      </c>
      <c r="BS161">
        <v>7</v>
      </c>
      <c r="BT161" t="s">
        <v>846</v>
      </c>
      <c r="CB161" s="224" t="s">
        <v>824</v>
      </c>
      <c r="CC161" s="317">
        <v>1850</v>
      </c>
      <c r="CD161" s="318">
        <v>1980</v>
      </c>
      <c r="CE161" s="317">
        <v>2376</v>
      </c>
      <c r="CF161" s="318">
        <v>2746</v>
      </c>
      <c r="CG161" s="318">
        <v>3064</v>
      </c>
      <c r="CH161" s="319">
        <v>3382</v>
      </c>
      <c r="CI161" s="2"/>
      <c r="CJ161" s="683">
        <v>911</v>
      </c>
      <c r="CK161" s="683">
        <v>1005</v>
      </c>
      <c r="CL161" s="683">
        <v>1321</v>
      </c>
      <c r="CM161" s="683">
        <v>1862</v>
      </c>
      <c r="CN161" s="683">
        <v>2168</v>
      </c>
      <c r="CR161" s="110" t="s">
        <v>823</v>
      </c>
      <c r="CS161" s="200">
        <v>352022</v>
      </c>
      <c r="CT161" s="200">
        <v>405878</v>
      </c>
      <c r="CU161" s="200">
        <v>489600</v>
      </c>
      <c r="CV161" s="200">
        <v>626688</v>
      </c>
      <c r="CW161" s="200">
        <v>698170</v>
      </c>
      <c r="CX161" s="11"/>
      <c r="CY161" s="110" t="s">
        <v>823</v>
      </c>
      <c r="CZ161" s="200">
        <v>352022</v>
      </c>
      <c r="DA161" s="200">
        <v>405878</v>
      </c>
      <c r="DB161" s="200">
        <v>489600</v>
      </c>
      <c r="DC161" s="200">
        <v>626688</v>
      </c>
      <c r="DD161" s="200">
        <v>698170</v>
      </c>
    </row>
    <row r="162" spans="1:108"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847</v>
      </c>
      <c r="BN162" s="110" t="s">
        <v>848</v>
      </c>
      <c r="BS162">
        <v>7</v>
      </c>
      <c r="BT162" t="s">
        <v>849</v>
      </c>
      <c r="CB162" s="224" t="s">
        <v>829</v>
      </c>
      <c r="CC162" s="320">
        <v>1764</v>
      </c>
      <c r="CD162" s="321">
        <v>1890</v>
      </c>
      <c r="CE162" s="320">
        <v>2270</v>
      </c>
      <c r="CF162" s="321">
        <v>2620</v>
      </c>
      <c r="CG162" s="321">
        <v>2924</v>
      </c>
      <c r="CH162" s="322">
        <v>3226</v>
      </c>
      <c r="CI162" s="2"/>
      <c r="CJ162" s="683">
        <v>1128</v>
      </c>
      <c r="CK162" s="683">
        <v>1135</v>
      </c>
      <c r="CL162" s="683">
        <v>1347</v>
      </c>
      <c r="CM162" s="683">
        <v>1898</v>
      </c>
      <c r="CN162" s="683">
        <v>2286</v>
      </c>
      <c r="CR162" s="110" t="s">
        <v>828</v>
      </c>
      <c r="CS162" s="202">
        <v>352022</v>
      </c>
      <c r="CT162" s="202">
        <v>405878</v>
      </c>
      <c r="CU162" s="202">
        <v>489600</v>
      </c>
      <c r="CV162" s="202">
        <v>626688</v>
      </c>
      <c r="CW162" s="202">
        <v>698170</v>
      </c>
      <c r="CX162" s="11"/>
      <c r="CY162" s="110" t="s">
        <v>828</v>
      </c>
      <c r="CZ162" s="202">
        <v>352022</v>
      </c>
      <c r="DA162" s="202">
        <v>405878</v>
      </c>
      <c r="DB162" s="202">
        <v>489600</v>
      </c>
      <c r="DC162" s="202">
        <v>626688</v>
      </c>
      <c r="DD162" s="202">
        <v>698170</v>
      </c>
    </row>
    <row r="163" spans="1:108" ht="13" customHeight="1">
      <c r="C163" s="21" t="s">
        <v>850</v>
      </c>
      <c r="D163" s="2" t="s">
        <v>851</v>
      </c>
      <c r="O163" s="94"/>
      <c r="P163" s="94"/>
      <c r="Q163" s="94"/>
      <c r="R163" s="94"/>
      <c r="S163" s="94"/>
      <c r="T163" s="94"/>
      <c r="U163" s="94"/>
      <c r="V163" s="94"/>
      <c r="W163" s="94"/>
      <c r="X163" s="94"/>
      <c r="Y163" s="94"/>
      <c r="Z163" s="94"/>
      <c r="AA163" s="94"/>
      <c r="AB163" s="94"/>
      <c r="AC163" s="94"/>
      <c r="AD163" s="94"/>
      <c r="AE163" s="94"/>
      <c r="AF163" s="94"/>
      <c r="AG163" s="94"/>
      <c r="AH163" s="94"/>
      <c r="BN163" s="110" t="s">
        <v>852</v>
      </c>
      <c r="BS163">
        <v>2</v>
      </c>
      <c r="BT163" t="s">
        <v>853</v>
      </c>
      <c r="CB163" s="224" t="s">
        <v>842</v>
      </c>
      <c r="CC163" s="320">
        <v>1586</v>
      </c>
      <c r="CD163" s="321">
        <v>1700</v>
      </c>
      <c r="CE163" s="320">
        <v>2042</v>
      </c>
      <c r="CF163" s="321">
        <v>2358</v>
      </c>
      <c r="CG163" s="321">
        <v>2630</v>
      </c>
      <c r="CH163" s="322">
        <v>2902</v>
      </c>
      <c r="CI163" s="2"/>
      <c r="CJ163" s="683">
        <v>1049</v>
      </c>
      <c r="CK163" s="683">
        <v>1091</v>
      </c>
      <c r="CL163" s="683">
        <v>1428</v>
      </c>
      <c r="CM163" s="683">
        <v>2012</v>
      </c>
      <c r="CN163" s="683">
        <v>2423</v>
      </c>
      <c r="CR163" s="110" t="s">
        <v>841</v>
      </c>
      <c r="CS163" s="200">
        <v>319236</v>
      </c>
      <c r="CT163" s="200">
        <v>368076</v>
      </c>
      <c r="CU163" s="200">
        <v>444000</v>
      </c>
      <c r="CV163" s="200">
        <v>568320</v>
      </c>
      <c r="CW163" s="200">
        <v>633144</v>
      </c>
      <c r="CX163" s="11"/>
      <c r="CY163" s="110" t="s">
        <v>841</v>
      </c>
      <c r="CZ163" s="200">
        <v>319236</v>
      </c>
      <c r="DA163" s="200">
        <v>368076</v>
      </c>
      <c r="DB163" s="200">
        <v>444000</v>
      </c>
      <c r="DC163" s="200">
        <v>568320</v>
      </c>
      <c r="DD163" s="200">
        <v>633144</v>
      </c>
    </row>
    <row r="164" spans="1:108" ht="13" customHeight="1">
      <c r="C164" s="21"/>
      <c r="D164" s="1494" t="s">
        <v>854</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BN164" s="110" t="s">
        <v>855</v>
      </c>
      <c r="BS164">
        <v>7</v>
      </c>
      <c r="BT164" t="s">
        <v>856</v>
      </c>
      <c r="CB164" s="224" t="s">
        <v>846</v>
      </c>
      <c r="CC164" s="320">
        <v>1656</v>
      </c>
      <c r="CD164" s="321">
        <v>1774</v>
      </c>
      <c r="CE164" s="320">
        <v>2130</v>
      </c>
      <c r="CF164" s="321">
        <v>2460</v>
      </c>
      <c r="CG164" s="321">
        <v>2744</v>
      </c>
      <c r="CH164" s="322">
        <v>3028</v>
      </c>
      <c r="CI164" s="2"/>
      <c r="CJ164" s="683">
        <v>1049</v>
      </c>
      <c r="CK164" s="683">
        <v>1055</v>
      </c>
      <c r="CL164" s="683">
        <v>1309</v>
      </c>
      <c r="CM164" s="683">
        <v>1845</v>
      </c>
      <c r="CN164" s="683">
        <v>2135</v>
      </c>
      <c r="CR164" s="110" t="s">
        <v>845</v>
      </c>
      <c r="CS164" s="202">
        <v>352022</v>
      </c>
      <c r="CT164" s="202">
        <v>405878</v>
      </c>
      <c r="CU164" s="202">
        <v>489600</v>
      </c>
      <c r="CV164" s="202">
        <v>626688</v>
      </c>
      <c r="CW164" s="202">
        <v>698170</v>
      </c>
      <c r="CX164" s="11"/>
      <c r="CY164" s="110" t="s">
        <v>845</v>
      </c>
      <c r="CZ164" s="202">
        <v>352022</v>
      </c>
      <c r="DA164" s="202">
        <v>405878</v>
      </c>
      <c r="DB164" s="202">
        <v>489600</v>
      </c>
      <c r="DC164" s="202">
        <v>626688</v>
      </c>
      <c r="DD164" s="202">
        <v>698170</v>
      </c>
    </row>
    <row r="165" spans="1:108" ht="13" customHeight="1">
      <c r="C165" s="21"/>
      <c r="D165" s="57"/>
      <c r="E165" s="57"/>
      <c r="F165" s="57"/>
      <c r="G165" s="57"/>
      <c r="H165" s="57"/>
      <c r="I165" s="57"/>
      <c r="J165" s="57"/>
      <c r="K165" s="57"/>
      <c r="L165" s="57"/>
      <c r="M165" s="57"/>
      <c r="N165" s="57"/>
      <c r="O165" s="1038"/>
      <c r="P165" s="1038"/>
      <c r="Q165" s="1038"/>
      <c r="R165" s="1038"/>
      <c r="S165" s="1038"/>
      <c r="T165" s="1038"/>
      <c r="U165" s="1038"/>
      <c r="V165" s="1038"/>
      <c r="W165" s="1038"/>
      <c r="X165" s="1038"/>
      <c r="Y165" s="1038"/>
      <c r="Z165" s="1038"/>
      <c r="AA165" s="94"/>
      <c r="AB165" s="94"/>
      <c r="AC165" s="94"/>
      <c r="AD165" s="94"/>
      <c r="AE165" s="94"/>
      <c r="AF165" s="94"/>
      <c r="AG165" s="94"/>
      <c r="AH165" s="94"/>
      <c r="BN165" s="110" t="s">
        <v>857</v>
      </c>
      <c r="BS165">
        <v>6</v>
      </c>
      <c r="BT165" t="s">
        <v>858</v>
      </c>
      <c r="CB165" s="224" t="s">
        <v>849</v>
      </c>
      <c r="CC165" s="320">
        <v>1540</v>
      </c>
      <c r="CD165" s="321">
        <v>1650</v>
      </c>
      <c r="CE165" s="320">
        <v>1980</v>
      </c>
      <c r="CF165" s="321">
        <v>2286</v>
      </c>
      <c r="CG165" s="321">
        <v>2550</v>
      </c>
      <c r="CH165" s="322">
        <v>2812</v>
      </c>
      <c r="CI165" s="2"/>
      <c r="CJ165" s="683">
        <v>823</v>
      </c>
      <c r="CK165" s="683">
        <v>829</v>
      </c>
      <c r="CL165" s="683">
        <v>1089</v>
      </c>
      <c r="CM165" s="683">
        <v>1519</v>
      </c>
      <c r="CN165" s="683">
        <v>1525</v>
      </c>
      <c r="CR165" s="110" t="s">
        <v>848</v>
      </c>
      <c r="CS165" s="200">
        <v>352022</v>
      </c>
      <c r="CT165" s="200">
        <v>405878</v>
      </c>
      <c r="CU165" s="200">
        <v>489600</v>
      </c>
      <c r="CV165" s="200">
        <v>626688</v>
      </c>
      <c r="CW165" s="200">
        <v>698170</v>
      </c>
      <c r="CX165" s="11"/>
      <c r="CY165" s="110" t="s">
        <v>848</v>
      </c>
      <c r="CZ165" s="200">
        <v>352022</v>
      </c>
      <c r="DA165" s="200">
        <v>405878</v>
      </c>
      <c r="DB165" s="200">
        <v>489600</v>
      </c>
      <c r="DC165" s="200">
        <v>626688</v>
      </c>
      <c r="DD165" s="200">
        <v>698170</v>
      </c>
    </row>
    <row r="166" spans="1:108" ht="13" customHeight="1">
      <c r="B166" s="1"/>
      <c r="C166" s="21"/>
      <c r="D166" s="57"/>
      <c r="E166" s="57"/>
      <c r="F166" s="57"/>
      <c r="G166" s="57"/>
      <c r="H166" s="57"/>
      <c r="I166" s="57"/>
      <c r="J166" s="57"/>
      <c r="K166" s="57"/>
      <c r="L166" s="57"/>
      <c r="M166" s="57"/>
      <c r="N166" s="57"/>
      <c r="O166" s="1038"/>
      <c r="P166" s="1038"/>
      <c r="Q166" s="1038"/>
      <c r="R166" s="1038"/>
      <c r="S166" s="1038"/>
      <c r="T166" s="1038"/>
      <c r="U166" s="1038"/>
      <c r="V166" s="1038"/>
      <c r="W166" s="1038"/>
      <c r="X166" s="1038"/>
      <c r="Y166" s="1038"/>
      <c r="Z166" s="1038"/>
      <c r="AA166" s="94"/>
      <c r="AB166" s="94"/>
      <c r="AC166" s="94"/>
      <c r="AD166" s="94"/>
      <c r="AE166" s="94"/>
      <c r="AF166" s="94"/>
      <c r="AG166" s="94"/>
      <c r="AH166" s="94"/>
      <c r="BN166" s="110" t="s">
        <v>859</v>
      </c>
      <c r="BS166">
        <v>5</v>
      </c>
      <c r="BT166" t="s">
        <v>860</v>
      </c>
      <c r="CB166" s="224" t="s">
        <v>853</v>
      </c>
      <c r="CC166" s="320">
        <v>2724</v>
      </c>
      <c r="CD166" s="321">
        <v>2920</v>
      </c>
      <c r="CE166" s="320">
        <v>3504</v>
      </c>
      <c r="CF166" s="321">
        <v>4048</v>
      </c>
      <c r="CG166" s="321">
        <v>4516</v>
      </c>
      <c r="CH166" s="322">
        <v>4982</v>
      </c>
      <c r="CI166" s="2"/>
      <c r="CJ166" s="683">
        <v>1825</v>
      </c>
      <c r="CK166" s="683">
        <v>2131</v>
      </c>
      <c r="CL166" s="683">
        <v>2590</v>
      </c>
      <c r="CM166" s="683">
        <v>3342</v>
      </c>
      <c r="CN166" s="683">
        <v>3954</v>
      </c>
      <c r="CR166" s="110" t="s">
        <v>852</v>
      </c>
      <c r="CS166" s="202">
        <v>473390</v>
      </c>
      <c r="CT166" s="202">
        <v>545814</v>
      </c>
      <c r="CU166" s="202">
        <v>658400</v>
      </c>
      <c r="CV166" s="202">
        <v>842752</v>
      </c>
      <c r="CW166" s="202">
        <v>938878</v>
      </c>
      <c r="CX166" s="11"/>
      <c r="CY166" s="110" t="s">
        <v>852</v>
      </c>
      <c r="CZ166" s="202">
        <v>473390</v>
      </c>
      <c r="DA166" s="202">
        <v>545814</v>
      </c>
      <c r="DB166" s="202">
        <v>658400</v>
      </c>
      <c r="DC166" s="202">
        <v>842752</v>
      </c>
      <c r="DD166" s="202">
        <v>938878</v>
      </c>
    </row>
    <row r="167" spans="1:108" ht="13" customHeight="1">
      <c r="B167" s="1"/>
      <c r="C167" s="21"/>
      <c r="D167" s="57"/>
      <c r="E167" s="57"/>
      <c r="F167" s="57"/>
      <c r="G167" s="57"/>
      <c r="H167" s="57"/>
      <c r="I167" s="57"/>
      <c r="J167" s="57"/>
      <c r="K167" s="57"/>
      <c r="L167" s="57"/>
      <c r="M167" s="57"/>
      <c r="N167" s="57"/>
      <c r="O167" s="1038"/>
      <c r="P167" s="1038"/>
      <c r="Q167" s="1038"/>
      <c r="R167" s="1038"/>
      <c r="S167" s="1038"/>
      <c r="T167" s="1038"/>
      <c r="U167" s="1038"/>
      <c r="V167" s="1038"/>
      <c r="W167" s="1038"/>
      <c r="X167" s="1038"/>
      <c r="Y167" s="1038"/>
      <c r="Z167" s="1038"/>
      <c r="AA167" s="94"/>
      <c r="AB167" s="94"/>
      <c r="AC167" s="94"/>
      <c r="AD167" s="94"/>
      <c r="AE167" s="94"/>
      <c r="AF167" s="94"/>
      <c r="AG167" s="94"/>
      <c r="AH167" s="94"/>
      <c r="BN167" s="110" t="s">
        <v>861</v>
      </c>
      <c r="BS167">
        <v>7</v>
      </c>
      <c r="BT167" t="s">
        <v>862</v>
      </c>
      <c r="CB167" s="224" t="s">
        <v>856</v>
      </c>
      <c r="CC167" s="320">
        <v>1540</v>
      </c>
      <c r="CD167" s="321">
        <v>1650</v>
      </c>
      <c r="CE167" s="320">
        <v>1980</v>
      </c>
      <c r="CF167" s="321">
        <v>2286</v>
      </c>
      <c r="CG167" s="321">
        <v>2550</v>
      </c>
      <c r="CH167" s="322">
        <v>2812</v>
      </c>
      <c r="CI167" s="2"/>
      <c r="CJ167" s="683">
        <v>791</v>
      </c>
      <c r="CK167" s="683">
        <v>970</v>
      </c>
      <c r="CL167" s="683">
        <v>1147</v>
      </c>
      <c r="CM167" s="683">
        <v>1616</v>
      </c>
      <c r="CN167" s="683">
        <v>1946</v>
      </c>
      <c r="CR167" s="110" t="s">
        <v>855</v>
      </c>
      <c r="CS167" s="200">
        <v>352022</v>
      </c>
      <c r="CT167" s="200">
        <v>405878</v>
      </c>
      <c r="CU167" s="200">
        <v>489600</v>
      </c>
      <c r="CV167" s="200">
        <v>626688</v>
      </c>
      <c r="CW167" s="200">
        <v>698170</v>
      </c>
      <c r="CX167" s="11"/>
      <c r="CY167" s="110" t="s">
        <v>855</v>
      </c>
      <c r="CZ167" s="200">
        <v>352022</v>
      </c>
      <c r="DA167" s="200">
        <v>405878</v>
      </c>
      <c r="DB167" s="200">
        <v>489600</v>
      </c>
      <c r="DC167" s="200">
        <v>626688</v>
      </c>
      <c r="DD167" s="200">
        <v>698170</v>
      </c>
    </row>
    <row r="168" spans="1:108"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863</v>
      </c>
      <c r="BS168">
        <v>7</v>
      </c>
      <c r="BT168" t="s">
        <v>864</v>
      </c>
      <c r="CB168" s="224" t="s">
        <v>858</v>
      </c>
      <c r="CC168" s="320">
        <v>2064</v>
      </c>
      <c r="CD168" s="321">
        <v>2210</v>
      </c>
      <c r="CE168" s="320">
        <v>2652</v>
      </c>
      <c r="CF168" s="321">
        <v>3064</v>
      </c>
      <c r="CG168" s="321">
        <v>3420</v>
      </c>
      <c r="CH168" s="322">
        <v>3772</v>
      </c>
      <c r="CI168" s="2"/>
      <c r="CJ168" s="683">
        <v>1543</v>
      </c>
      <c r="CK168" s="683">
        <v>1666</v>
      </c>
      <c r="CL168" s="683">
        <v>2072</v>
      </c>
      <c r="CM168" s="683">
        <v>2884</v>
      </c>
      <c r="CN168" s="683">
        <v>3321</v>
      </c>
      <c r="CR168" s="110" t="s">
        <v>857</v>
      </c>
      <c r="CS168" s="202">
        <v>331890</v>
      </c>
      <c r="CT168" s="202">
        <v>382666</v>
      </c>
      <c r="CU168" s="202">
        <v>461600</v>
      </c>
      <c r="CV168" s="202">
        <v>590848</v>
      </c>
      <c r="CW168" s="202">
        <v>658242</v>
      </c>
      <c r="CX168" s="11"/>
      <c r="CY168" s="110" t="s">
        <v>857</v>
      </c>
      <c r="CZ168" s="202">
        <v>331890</v>
      </c>
      <c r="DA168" s="202">
        <v>382666</v>
      </c>
      <c r="DB168" s="202">
        <v>461600</v>
      </c>
      <c r="DC168" s="202">
        <v>590848</v>
      </c>
      <c r="DD168" s="202">
        <v>658242</v>
      </c>
    </row>
    <row r="169" spans="1:108" ht="13" customHeight="1">
      <c r="A169" s="1482" t="s">
        <v>865</v>
      </c>
      <c r="B169" s="1482"/>
      <c r="C169" s="1482"/>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c r="AS169" s="1482"/>
      <c r="AT169" s="1482"/>
      <c r="AU169" s="54"/>
      <c r="AV169" s="54"/>
      <c r="AW169" s="54"/>
      <c r="AX169" s="54"/>
      <c r="AY169" s="54"/>
      <c r="BN169" s="110" t="s">
        <v>866</v>
      </c>
      <c r="BS169">
        <v>5</v>
      </c>
      <c r="BT169" t="s">
        <v>867</v>
      </c>
      <c r="CB169" s="224" t="s">
        <v>860</v>
      </c>
      <c r="CC169" s="320">
        <v>1540</v>
      </c>
      <c r="CD169" s="321">
        <v>1650</v>
      </c>
      <c r="CE169" s="320">
        <v>1980</v>
      </c>
      <c r="CF169" s="321">
        <v>2286</v>
      </c>
      <c r="CG169" s="321">
        <v>2550</v>
      </c>
      <c r="CH169" s="322">
        <v>2812</v>
      </c>
      <c r="CI169" s="2"/>
      <c r="CJ169" s="683">
        <v>1149</v>
      </c>
      <c r="CK169" s="683">
        <v>1157</v>
      </c>
      <c r="CL169" s="683">
        <v>1443</v>
      </c>
      <c r="CM169" s="683">
        <v>2033</v>
      </c>
      <c r="CN169" s="683">
        <v>2330</v>
      </c>
      <c r="CR169" s="110" t="s">
        <v>859</v>
      </c>
      <c r="CS169" s="200">
        <v>307732</v>
      </c>
      <c r="CT169" s="200">
        <v>354812</v>
      </c>
      <c r="CU169" s="200">
        <v>428000</v>
      </c>
      <c r="CV169" s="200">
        <v>547840</v>
      </c>
      <c r="CW169" s="200">
        <v>610328</v>
      </c>
      <c r="CX169" s="11"/>
      <c r="CY169" s="110" t="s">
        <v>859</v>
      </c>
      <c r="CZ169" s="200">
        <v>307732</v>
      </c>
      <c r="DA169" s="200">
        <v>354812</v>
      </c>
      <c r="DB169" s="200">
        <v>428000</v>
      </c>
      <c r="DC169" s="200">
        <v>547840</v>
      </c>
      <c r="DD169" s="200">
        <v>610328</v>
      </c>
    </row>
    <row r="170" spans="1:108" ht="13" customHeight="1">
      <c r="A170" s="1482"/>
      <c r="B170" s="1482"/>
      <c r="C170" s="1482"/>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54"/>
      <c r="AV170" s="54"/>
      <c r="AW170" s="54"/>
      <c r="AX170" s="54"/>
      <c r="AY170" s="54"/>
      <c r="BN170" s="110" t="s">
        <v>868</v>
      </c>
      <c r="BS170">
        <v>7</v>
      </c>
      <c r="BT170" t="s">
        <v>869</v>
      </c>
      <c r="CB170" s="224" t="s">
        <v>862</v>
      </c>
      <c r="CC170" s="320">
        <v>1540</v>
      </c>
      <c r="CD170" s="321">
        <v>1650</v>
      </c>
      <c r="CE170" s="320">
        <v>1980</v>
      </c>
      <c r="CF170" s="321">
        <v>2286</v>
      </c>
      <c r="CG170" s="321">
        <v>2550</v>
      </c>
      <c r="CH170" s="322">
        <v>2812</v>
      </c>
      <c r="CI170" s="2"/>
      <c r="CJ170" s="683">
        <v>771</v>
      </c>
      <c r="CK170" s="683">
        <v>866</v>
      </c>
      <c r="CL170" s="683">
        <v>1138</v>
      </c>
      <c r="CM170" s="683">
        <v>1484</v>
      </c>
      <c r="CN170" s="683">
        <v>1846</v>
      </c>
      <c r="CR170" s="110" t="s">
        <v>861</v>
      </c>
      <c r="CS170" s="202">
        <v>352022</v>
      </c>
      <c r="CT170" s="202">
        <v>405878</v>
      </c>
      <c r="CU170" s="202">
        <v>489600</v>
      </c>
      <c r="CV170" s="202">
        <v>626688</v>
      </c>
      <c r="CW170" s="202">
        <v>698170</v>
      </c>
      <c r="CX170" s="11"/>
      <c r="CY170" s="110" t="s">
        <v>861</v>
      </c>
      <c r="CZ170" s="202">
        <v>352022</v>
      </c>
      <c r="DA170" s="202">
        <v>405878</v>
      </c>
      <c r="DB170" s="202">
        <v>489600</v>
      </c>
      <c r="DC170" s="202">
        <v>626688</v>
      </c>
      <c r="DD170" s="202">
        <v>698170</v>
      </c>
    </row>
    <row r="171" spans="1:108" ht="13" customHeight="1">
      <c r="BN171" s="110" t="s">
        <v>870</v>
      </c>
      <c r="BS171">
        <v>5</v>
      </c>
      <c r="BT171" t="s">
        <v>871</v>
      </c>
      <c r="CB171" s="224" t="s">
        <v>864</v>
      </c>
      <c r="CC171" s="320">
        <v>1546</v>
      </c>
      <c r="CD171" s="321">
        <v>1656</v>
      </c>
      <c r="CE171" s="320">
        <v>1986</v>
      </c>
      <c r="CF171" s="321">
        <v>2296</v>
      </c>
      <c r="CG171" s="321">
        <v>2562</v>
      </c>
      <c r="CH171" s="322">
        <v>2826</v>
      </c>
      <c r="CI171" s="2"/>
      <c r="CJ171" s="683">
        <v>950</v>
      </c>
      <c r="CK171" s="683">
        <v>1032</v>
      </c>
      <c r="CL171" s="683">
        <v>1352</v>
      </c>
      <c r="CM171" s="683">
        <v>1905</v>
      </c>
      <c r="CN171" s="683">
        <v>2294</v>
      </c>
      <c r="CR171" s="110" t="s">
        <v>863</v>
      </c>
      <c r="CS171" s="200">
        <v>352022</v>
      </c>
      <c r="CT171" s="200">
        <v>405878</v>
      </c>
      <c r="CU171" s="200">
        <v>489600</v>
      </c>
      <c r="CV171" s="200">
        <v>626688</v>
      </c>
      <c r="CW171" s="200">
        <v>698170</v>
      </c>
      <c r="CX171" s="11"/>
      <c r="CY171" s="110" t="s">
        <v>863</v>
      </c>
      <c r="CZ171" s="200">
        <v>352022</v>
      </c>
      <c r="DA171" s="200">
        <v>405878</v>
      </c>
      <c r="DB171" s="200">
        <v>489600</v>
      </c>
      <c r="DC171" s="200">
        <v>626688</v>
      </c>
      <c r="DD171" s="200">
        <v>698170</v>
      </c>
    </row>
    <row r="172" spans="1:108" ht="13" customHeight="1">
      <c r="A172" s="1" t="s">
        <v>872</v>
      </c>
      <c r="C172" s="1" t="s">
        <v>91</v>
      </c>
      <c r="BN172" s="110" t="s">
        <v>873</v>
      </c>
      <c r="BS172">
        <v>5</v>
      </c>
      <c r="BT172" t="s">
        <v>874</v>
      </c>
      <c r="CB172" s="224" t="s">
        <v>867</v>
      </c>
      <c r="CC172" s="320">
        <v>1540</v>
      </c>
      <c r="CD172" s="321">
        <v>1650</v>
      </c>
      <c r="CE172" s="320">
        <v>1980</v>
      </c>
      <c r="CF172" s="321">
        <v>2286</v>
      </c>
      <c r="CG172" s="321">
        <v>2550</v>
      </c>
      <c r="CH172" s="322">
        <v>2812</v>
      </c>
      <c r="CI172" s="2"/>
      <c r="CJ172" s="683">
        <v>872</v>
      </c>
      <c r="CK172" s="683">
        <v>1001</v>
      </c>
      <c r="CL172" s="683">
        <v>1286</v>
      </c>
      <c r="CM172" s="683">
        <v>1771</v>
      </c>
      <c r="CN172" s="683">
        <v>2138</v>
      </c>
      <c r="CR172" s="110" t="s">
        <v>866</v>
      </c>
      <c r="CS172" s="202">
        <v>324988</v>
      </c>
      <c r="CT172" s="202">
        <v>374708</v>
      </c>
      <c r="CU172" s="202">
        <v>452000</v>
      </c>
      <c r="CV172" s="202">
        <v>578560</v>
      </c>
      <c r="CW172" s="202">
        <v>644552</v>
      </c>
      <c r="CX172" s="11"/>
      <c r="CY172" s="110" t="s">
        <v>866</v>
      </c>
      <c r="CZ172" s="202">
        <v>324988</v>
      </c>
      <c r="DA172" s="202">
        <v>374708</v>
      </c>
      <c r="DB172" s="202">
        <v>452000</v>
      </c>
      <c r="DC172" s="202">
        <v>578560</v>
      </c>
      <c r="DD172" s="202">
        <v>644552</v>
      </c>
    </row>
    <row r="173" spans="1:108" ht="13" customHeight="1">
      <c r="C173" s="18"/>
      <c r="D173" t="s">
        <v>875</v>
      </c>
      <c r="J173" s="1479" t="s">
        <v>876</v>
      </c>
      <c r="K173" s="1479"/>
      <c r="L173" s="1479"/>
      <c r="M173" s="1479"/>
      <c r="N173" s="1479"/>
      <c r="O173" s="1479"/>
      <c r="P173" s="1479"/>
      <c r="Q173" s="1479"/>
      <c r="R173" s="1479"/>
      <c r="S173" s="1479"/>
      <c r="U173" s="19"/>
      <c r="X173" s="19"/>
      <c r="BB173" s="2" t="s">
        <v>547</v>
      </c>
      <c r="BN173" s="110" t="s">
        <v>877</v>
      </c>
      <c r="BS173">
        <v>7</v>
      </c>
      <c r="BT173" t="s">
        <v>878</v>
      </c>
      <c r="CB173" s="224" t="s">
        <v>869</v>
      </c>
      <c r="CC173" s="320">
        <v>1540</v>
      </c>
      <c r="CD173" s="321">
        <v>1650</v>
      </c>
      <c r="CE173" s="320">
        <v>1980</v>
      </c>
      <c r="CF173" s="321">
        <v>2286</v>
      </c>
      <c r="CG173" s="321">
        <v>2550</v>
      </c>
      <c r="CH173" s="322">
        <v>2812</v>
      </c>
      <c r="CI173" s="2"/>
      <c r="CJ173" s="683">
        <v>924</v>
      </c>
      <c r="CK173" s="683">
        <v>1079</v>
      </c>
      <c r="CL173" s="683">
        <v>1363</v>
      </c>
      <c r="CM173" s="683">
        <v>1648</v>
      </c>
      <c r="CN173" s="683">
        <v>2237</v>
      </c>
      <c r="CR173" s="110" t="s">
        <v>868</v>
      </c>
      <c r="CS173" s="200">
        <v>352022</v>
      </c>
      <c r="CT173" s="200">
        <v>405878</v>
      </c>
      <c r="CU173" s="200">
        <v>489600</v>
      </c>
      <c r="CV173" s="200">
        <v>626688</v>
      </c>
      <c r="CW173" s="200">
        <v>698170</v>
      </c>
      <c r="CX173" s="11"/>
      <c r="CY173" s="110" t="s">
        <v>868</v>
      </c>
      <c r="CZ173" s="200">
        <v>352022</v>
      </c>
      <c r="DA173" s="200">
        <v>405878</v>
      </c>
      <c r="DB173" s="200">
        <v>489600</v>
      </c>
      <c r="DC173" s="200">
        <v>626688</v>
      </c>
      <c r="DD173" s="200">
        <v>698170</v>
      </c>
    </row>
    <row r="174" spans="1:108" ht="13" customHeight="1">
      <c r="C174" s="18"/>
      <c r="D174" s="2" t="s">
        <v>879</v>
      </c>
      <c r="J174" s="1359" t="s">
        <v>880</v>
      </c>
      <c r="K174" s="1359"/>
      <c r="L174" s="1359"/>
      <c r="M174" s="1359"/>
      <c r="N174" s="1359"/>
      <c r="O174" s="1359"/>
      <c r="P174" s="1359"/>
      <c r="Q174" s="1359"/>
      <c r="R174" s="1359"/>
      <c r="S174" s="1359"/>
      <c r="T174" s="1359"/>
      <c r="U174" s="1359"/>
      <c r="V174" s="1359"/>
      <c r="W174" s="1359"/>
      <c r="X174" s="1359"/>
      <c r="Y174" s="1359"/>
      <c r="Z174" s="1359"/>
      <c r="AA174" s="1359"/>
      <c r="AB174" s="1359"/>
      <c r="BB174" t="s">
        <v>881</v>
      </c>
      <c r="BN174" s="110" t="s">
        <v>882</v>
      </c>
      <c r="BS174">
        <v>7</v>
      </c>
      <c r="BT174" t="s">
        <v>883</v>
      </c>
      <c r="CB174" s="224" t="s">
        <v>871</v>
      </c>
      <c r="CC174" s="320">
        <v>1540</v>
      </c>
      <c r="CD174" s="321">
        <v>1650</v>
      </c>
      <c r="CE174" s="320">
        <v>1980</v>
      </c>
      <c r="CF174" s="321">
        <v>2286</v>
      </c>
      <c r="CG174" s="321">
        <v>2550</v>
      </c>
      <c r="CH174" s="322">
        <v>2812</v>
      </c>
      <c r="CI174" s="2"/>
      <c r="CJ174" s="683">
        <v>960</v>
      </c>
      <c r="CK174" s="683">
        <v>967</v>
      </c>
      <c r="CL174" s="683">
        <v>1258</v>
      </c>
      <c r="CM174" s="683">
        <v>1773</v>
      </c>
      <c r="CN174" s="683">
        <v>2135</v>
      </c>
      <c r="CR174" s="110" t="s">
        <v>870</v>
      </c>
      <c r="CS174" s="202">
        <v>307732</v>
      </c>
      <c r="CT174" s="202">
        <v>354812</v>
      </c>
      <c r="CU174" s="202">
        <v>428000</v>
      </c>
      <c r="CV174" s="202">
        <v>547840</v>
      </c>
      <c r="CW174" s="202">
        <v>610328</v>
      </c>
      <c r="CX174" s="11"/>
      <c r="CY174" s="110" t="s">
        <v>870</v>
      </c>
      <c r="CZ174" s="202">
        <v>307732</v>
      </c>
      <c r="DA174" s="202">
        <v>354812</v>
      </c>
      <c r="DB174" s="202">
        <v>428000</v>
      </c>
      <c r="DC174" s="202">
        <v>547840</v>
      </c>
      <c r="DD174" s="202">
        <v>610328</v>
      </c>
    </row>
    <row r="175" spans="1:108" ht="13" customHeight="1">
      <c r="C175" s="6"/>
      <c r="D175" s="2" t="s">
        <v>884</v>
      </c>
      <c r="O175" s="21"/>
      <c r="U175" s="1367" t="s">
        <v>847</v>
      </c>
      <c r="V175" s="1367"/>
      <c r="BB175" t="s">
        <v>885</v>
      </c>
      <c r="BN175" s="110" t="s">
        <v>886</v>
      </c>
      <c r="BS175">
        <v>1</v>
      </c>
      <c r="BT175" t="s">
        <v>887</v>
      </c>
      <c r="CB175" s="224" t="s">
        <v>874</v>
      </c>
      <c r="CC175" s="320">
        <v>1540</v>
      </c>
      <c r="CD175" s="321">
        <v>1650</v>
      </c>
      <c r="CE175" s="320">
        <v>1980</v>
      </c>
      <c r="CF175" s="321">
        <v>2286</v>
      </c>
      <c r="CG175" s="321">
        <v>2550</v>
      </c>
      <c r="CH175" s="322">
        <v>2812</v>
      </c>
      <c r="CI175" s="2"/>
      <c r="CJ175" s="683">
        <v>1080</v>
      </c>
      <c r="CK175" s="683">
        <v>1087</v>
      </c>
      <c r="CL175" s="683">
        <v>1371</v>
      </c>
      <c r="CM175" s="683">
        <v>1932</v>
      </c>
      <c r="CN175" s="683">
        <v>2310</v>
      </c>
      <c r="CR175" s="110" t="s">
        <v>873</v>
      </c>
      <c r="CS175" s="200">
        <v>307732</v>
      </c>
      <c r="CT175" s="200">
        <v>354812</v>
      </c>
      <c r="CU175" s="200">
        <v>428000</v>
      </c>
      <c r="CV175" s="200">
        <v>547840</v>
      </c>
      <c r="CW175" s="200">
        <v>610328</v>
      </c>
      <c r="CX175" s="11"/>
      <c r="CY175" s="110" t="s">
        <v>873</v>
      </c>
      <c r="CZ175" s="200">
        <v>307732</v>
      </c>
      <c r="DA175" s="200">
        <v>354812</v>
      </c>
      <c r="DB175" s="200">
        <v>428000</v>
      </c>
      <c r="DC175" s="200">
        <v>547840</v>
      </c>
      <c r="DD175" s="200">
        <v>610328</v>
      </c>
    </row>
    <row r="176" spans="1:108" ht="13" customHeight="1">
      <c r="C176" s="6"/>
      <c r="D176" s="20"/>
      <c r="E176" t="s">
        <v>888</v>
      </c>
      <c r="O176" s="21"/>
      <c r="P176" t="s">
        <v>889</v>
      </c>
      <c r="T176" s="21" t="s">
        <v>890</v>
      </c>
      <c r="U176" s="1459">
        <v>24</v>
      </c>
      <c r="V176" s="1459"/>
      <c r="W176" s="1146" t="s">
        <v>891</v>
      </c>
      <c r="X176" s="1510">
        <v>665</v>
      </c>
      <c r="Y176" s="1510"/>
      <c r="BB176" t="s">
        <v>892</v>
      </c>
      <c r="BN176" s="110" t="s">
        <v>893</v>
      </c>
      <c r="BS176">
        <v>5</v>
      </c>
      <c r="BT176" t="s">
        <v>894</v>
      </c>
      <c r="CB176" s="224" t="s">
        <v>878</v>
      </c>
      <c r="CC176" s="320">
        <v>1540</v>
      </c>
      <c r="CD176" s="321">
        <v>1650</v>
      </c>
      <c r="CE176" s="320">
        <v>1980</v>
      </c>
      <c r="CF176" s="321">
        <v>2286</v>
      </c>
      <c r="CG176" s="321">
        <v>2550</v>
      </c>
      <c r="CH176" s="322">
        <v>2812</v>
      </c>
      <c r="CI176" s="2"/>
      <c r="CJ176" s="683">
        <v>928</v>
      </c>
      <c r="CK176" s="683">
        <v>964</v>
      </c>
      <c r="CL176" s="683">
        <v>1267</v>
      </c>
      <c r="CM176" s="683">
        <v>1785</v>
      </c>
      <c r="CN176" s="683">
        <v>2150</v>
      </c>
      <c r="CR176" s="110" t="s">
        <v>877</v>
      </c>
      <c r="CS176" s="202">
        <v>352022</v>
      </c>
      <c r="CT176" s="202">
        <v>405878</v>
      </c>
      <c r="CU176" s="202">
        <v>489600</v>
      </c>
      <c r="CV176" s="202">
        <v>626688</v>
      </c>
      <c r="CW176" s="202">
        <v>698170</v>
      </c>
      <c r="CX176" s="11"/>
      <c r="CY176" s="110" t="s">
        <v>877</v>
      </c>
      <c r="CZ176" s="202">
        <v>352022</v>
      </c>
      <c r="DA176" s="202">
        <v>405878</v>
      </c>
      <c r="DB176" s="202">
        <v>489600</v>
      </c>
      <c r="DC176" s="202">
        <v>626688</v>
      </c>
      <c r="DD176" s="202">
        <v>698170</v>
      </c>
    </row>
    <row r="177" spans="1:108" ht="13" customHeight="1">
      <c r="C177" s="18"/>
      <c r="D177" t="s">
        <v>895</v>
      </c>
      <c r="R177" s="1367" t="s">
        <v>694</v>
      </c>
      <c r="S177" s="1367"/>
      <c r="BB177" t="s">
        <v>896</v>
      </c>
      <c r="BN177" s="110" t="s">
        <v>897</v>
      </c>
      <c r="BS177">
        <v>2</v>
      </c>
      <c r="BT177" t="s">
        <v>898</v>
      </c>
      <c r="CB177" s="224" t="s">
        <v>883</v>
      </c>
      <c r="CC177" s="320">
        <v>1540</v>
      </c>
      <c r="CD177" s="321">
        <v>1650</v>
      </c>
      <c r="CE177" s="320">
        <v>1980</v>
      </c>
      <c r="CF177" s="321">
        <v>2286</v>
      </c>
      <c r="CG177" s="321">
        <v>2550</v>
      </c>
      <c r="CH177" s="322">
        <v>2812</v>
      </c>
      <c r="CI177" s="2"/>
      <c r="CJ177" s="683">
        <v>760</v>
      </c>
      <c r="CK177" s="683">
        <v>853</v>
      </c>
      <c r="CL177" s="683">
        <v>1121</v>
      </c>
      <c r="CM177" s="683">
        <v>1580</v>
      </c>
      <c r="CN177" s="683">
        <v>1789</v>
      </c>
      <c r="CR177" s="110" t="s">
        <v>882</v>
      </c>
      <c r="CS177" s="200">
        <v>352022</v>
      </c>
      <c r="CT177" s="200">
        <v>405878</v>
      </c>
      <c r="CU177" s="200">
        <v>489600</v>
      </c>
      <c r="CV177" s="200">
        <v>626688</v>
      </c>
      <c r="CW177" s="200">
        <v>698170</v>
      </c>
      <c r="CX177" s="11"/>
      <c r="CY177" s="110" t="s">
        <v>882</v>
      </c>
      <c r="CZ177" s="200">
        <v>352022</v>
      </c>
      <c r="DA177" s="200">
        <v>405878</v>
      </c>
      <c r="DB177" s="200">
        <v>489600</v>
      </c>
      <c r="DC177" s="200">
        <v>626688</v>
      </c>
      <c r="DD177" s="200">
        <v>698170</v>
      </c>
    </row>
    <row r="178" spans="1:108" ht="13" customHeight="1">
      <c r="C178" s="18"/>
      <c r="D178" s="2" t="s">
        <v>899</v>
      </c>
      <c r="AA178" t="s">
        <v>889</v>
      </c>
      <c r="AE178" s="21" t="s">
        <v>890</v>
      </c>
      <c r="AF178" s="1509"/>
      <c r="AG178" s="1509"/>
      <c r="AH178" s="1146" t="s">
        <v>891</v>
      </c>
      <c r="AI178" s="1398"/>
      <c r="AJ178" s="1398"/>
      <c r="AK178" s="1398"/>
      <c r="BB178" t="s">
        <v>900</v>
      </c>
      <c r="BN178" s="110" t="s">
        <v>901</v>
      </c>
      <c r="BS178">
        <v>7</v>
      </c>
      <c r="BT178" t="s">
        <v>902</v>
      </c>
      <c r="CB178" s="224" t="s">
        <v>887</v>
      </c>
      <c r="CC178" s="320">
        <v>2426</v>
      </c>
      <c r="CD178" s="321">
        <v>2600</v>
      </c>
      <c r="CE178" s="320">
        <v>3120</v>
      </c>
      <c r="CF178" s="321">
        <v>3606</v>
      </c>
      <c r="CG178" s="321">
        <v>4022</v>
      </c>
      <c r="CH178" s="322">
        <v>4438</v>
      </c>
      <c r="CI178" s="2"/>
      <c r="CJ178" s="683">
        <v>1777</v>
      </c>
      <c r="CK178" s="683">
        <v>2006</v>
      </c>
      <c r="CL178" s="683">
        <v>2544</v>
      </c>
      <c r="CM178" s="683">
        <v>3263</v>
      </c>
      <c r="CN178" s="683">
        <v>3600</v>
      </c>
      <c r="CR178" s="110" t="s">
        <v>886</v>
      </c>
      <c r="CS178" s="202">
        <v>437727</v>
      </c>
      <c r="CT178" s="202">
        <v>504695</v>
      </c>
      <c r="CU178" s="202">
        <v>608800</v>
      </c>
      <c r="CV178" s="202">
        <v>779264</v>
      </c>
      <c r="CW178" s="202">
        <v>868149</v>
      </c>
      <c r="CX178" s="11"/>
      <c r="CY178" s="110" t="s">
        <v>886</v>
      </c>
      <c r="CZ178" s="202">
        <v>437727</v>
      </c>
      <c r="DA178" s="202">
        <v>504695</v>
      </c>
      <c r="DB178" s="202">
        <v>608800</v>
      </c>
      <c r="DC178" s="202">
        <v>779264</v>
      </c>
      <c r="DD178" s="202">
        <v>868149</v>
      </c>
    </row>
    <row r="179" spans="1:108" ht="13" customHeight="1">
      <c r="C179" s="18"/>
      <c r="BN179" s="110" t="s">
        <v>903</v>
      </c>
      <c r="BS179">
        <v>7</v>
      </c>
      <c r="BT179" t="s">
        <v>904</v>
      </c>
      <c r="CB179" s="224" t="s">
        <v>894</v>
      </c>
      <c r="CC179" s="320">
        <v>1540</v>
      </c>
      <c r="CD179" s="321">
        <v>1650</v>
      </c>
      <c r="CE179" s="320">
        <v>1980</v>
      </c>
      <c r="CF179" s="321">
        <v>2286</v>
      </c>
      <c r="CG179" s="321">
        <v>2550</v>
      </c>
      <c r="CH179" s="322">
        <v>2812</v>
      </c>
      <c r="CI179" s="2"/>
      <c r="CJ179" s="683">
        <v>1083</v>
      </c>
      <c r="CK179" s="683">
        <v>1090</v>
      </c>
      <c r="CL179" s="683">
        <v>1432</v>
      </c>
      <c r="CM179" s="683">
        <v>1998</v>
      </c>
      <c r="CN179" s="683">
        <v>2208</v>
      </c>
      <c r="CR179" s="110" t="s">
        <v>893</v>
      </c>
      <c r="CS179" s="200">
        <v>307732</v>
      </c>
      <c r="CT179" s="200">
        <v>354812</v>
      </c>
      <c r="CU179" s="200">
        <v>428000</v>
      </c>
      <c r="CV179" s="200">
        <v>547840</v>
      </c>
      <c r="CW179" s="200">
        <v>610328</v>
      </c>
      <c r="CX179" s="11"/>
      <c r="CY179" s="110" t="s">
        <v>893</v>
      </c>
      <c r="CZ179" s="200">
        <v>307732</v>
      </c>
      <c r="DA179" s="200">
        <v>354812</v>
      </c>
      <c r="DB179" s="200">
        <v>428000</v>
      </c>
      <c r="DC179" s="200">
        <v>547840</v>
      </c>
      <c r="DD179" s="200">
        <v>610328</v>
      </c>
    </row>
    <row r="180" spans="1:108" ht="13" customHeight="1">
      <c r="C180" s="18"/>
      <c r="D180" t="s">
        <v>905</v>
      </c>
      <c r="X180" s="1367" t="s">
        <v>694</v>
      </c>
      <c r="Y180" s="1367"/>
      <c r="BN180" s="110" t="s">
        <v>906</v>
      </c>
      <c r="BS180">
        <v>5</v>
      </c>
      <c r="BT180" t="s">
        <v>907</v>
      </c>
      <c r="CB180" s="224" t="s">
        <v>898</v>
      </c>
      <c r="CC180" s="320">
        <v>3426</v>
      </c>
      <c r="CD180" s="321">
        <v>3672</v>
      </c>
      <c r="CE180" s="320">
        <v>4406</v>
      </c>
      <c r="CF180" s="321">
        <v>5090</v>
      </c>
      <c r="CG180" s="321">
        <v>5680</v>
      </c>
      <c r="CH180" s="322">
        <v>6266</v>
      </c>
      <c r="CI180" s="2"/>
      <c r="CJ180" s="683">
        <v>2292</v>
      </c>
      <c r="CK180" s="683">
        <v>2818</v>
      </c>
      <c r="CL180" s="683">
        <v>3359</v>
      </c>
      <c r="CM180" s="683">
        <v>4112</v>
      </c>
      <c r="CN180" s="683">
        <v>4473</v>
      </c>
      <c r="CR180" s="110" t="s">
        <v>897</v>
      </c>
      <c r="CS180" s="202">
        <v>384234</v>
      </c>
      <c r="CT180" s="202">
        <v>443018</v>
      </c>
      <c r="CU180" s="202">
        <v>534400</v>
      </c>
      <c r="CV180" s="202">
        <v>684032</v>
      </c>
      <c r="CW180" s="202">
        <v>762054</v>
      </c>
      <c r="CX180" s="11"/>
      <c r="CY180" s="110" t="s">
        <v>897</v>
      </c>
      <c r="CZ180" s="202">
        <v>384234</v>
      </c>
      <c r="DA180" s="202">
        <v>443018</v>
      </c>
      <c r="DB180" s="202">
        <v>534400</v>
      </c>
      <c r="DC180" s="202">
        <v>684032</v>
      </c>
      <c r="DD180" s="202">
        <v>762054</v>
      </c>
    </row>
    <row r="181" spans="1:108" ht="13" customHeight="1">
      <c r="C181" s="6"/>
      <c r="E181" s="2" t="s">
        <v>908</v>
      </c>
      <c r="BN181" s="110" t="s">
        <v>909</v>
      </c>
      <c r="BS181">
        <v>7</v>
      </c>
      <c r="BT181" t="s">
        <v>910</v>
      </c>
      <c r="CB181" s="224" t="s">
        <v>902</v>
      </c>
      <c r="CC181" s="320">
        <v>1540</v>
      </c>
      <c r="CD181" s="321">
        <v>1650</v>
      </c>
      <c r="CE181" s="320">
        <v>1980</v>
      </c>
      <c r="CF181" s="321">
        <v>2286</v>
      </c>
      <c r="CG181" s="321">
        <v>2550</v>
      </c>
      <c r="CH181" s="322">
        <v>2812</v>
      </c>
      <c r="CI181" s="2"/>
      <c r="CJ181" s="683">
        <v>891</v>
      </c>
      <c r="CK181" s="683">
        <v>1010</v>
      </c>
      <c r="CL181" s="683">
        <v>1218</v>
      </c>
      <c r="CM181" s="683">
        <v>1716</v>
      </c>
      <c r="CN181" s="683">
        <v>2067</v>
      </c>
      <c r="CR181" s="110" t="s">
        <v>901</v>
      </c>
      <c r="CS181" s="200">
        <v>352022</v>
      </c>
      <c r="CT181" s="200">
        <v>405878</v>
      </c>
      <c r="CU181" s="200">
        <v>489600</v>
      </c>
      <c r="CV181" s="200">
        <v>626688</v>
      </c>
      <c r="CW181" s="200">
        <v>698170</v>
      </c>
      <c r="CX181" s="11"/>
      <c r="CY181" s="110" t="s">
        <v>901</v>
      </c>
      <c r="CZ181" s="200">
        <v>352022</v>
      </c>
      <c r="DA181" s="200">
        <v>405878</v>
      </c>
      <c r="DB181" s="200">
        <v>489600</v>
      </c>
      <c r="DC181" s="200">
        <v>626688</v>
      </c>
      <c r="DD181" s="200">
        <v>698170</v>
      </c>
    </row>
    <row r="182" spans="1:108" ht="13" customHeight="1">
      <c r="C182" s="379"/>
      <c r="BN182" s="110" t="s">
        <v>911</v>
      </c>
      <c r="BS182">
        <v>7</v>
      </c>
      <c r="BT182" t="s">
        <v>912</v>
      </c>
      <c r="CB182" s="224" t="s">
        <v>904</v>
      </c>
      <c r="CC182" s="320">
        <v>1582</v>
      </c>
      <c r="CD182" s="321">
        <v>1696</v>
      </c>
      <c r="CE182" s="320">
        <v>2034</v>
      </c>
      <c r="CF182" s="321">
        <v>2350</v>
      </c>
      <c r="CG182" s="321">
        <v>2622</v>
      </c>
      <c r="CH182" s="322">
        <v>2892</v>
      </c>
      <c r="CI182" s="2"/>
      <c r="CJ182" s="683">
        <v>1119</v>
      </c>
      <c r="CK182" s="683">
        <v>1132</v>
      </c>
      <c r="CL182" s="683">
        <v>1488</v>
      </c>
      <c r="CM182" s="683">
        <v>2097</v>
      </c>
      <c r="CN182" s="683">
        <v>2525</v>
      </c>
      <c r="CR182" s="110" t="s">
        <v>903</v>
      </c>
      <c r="CS182" s="202">
        <v>352022</v>
      </c>
      <c r="CT182" s="202">
        <v>405878</v>
      </c>
      <c r="CU182" s="202">
        <v>489600</v>
      </c>
      <c r="CV182" s="202">
        <v>626688</v>
      </c>
      <c r="CW182" s="202">
        <v>698170</v>
      </c>
      <c r="CX182" s="11"/>
      <c r="CY182" s="110" t="s">
        <v>903</v>
      </c>
      <c r="CZ182" s="202">
        <v>352022</v>
      </c>
      <c r="DA182" s="202">
        <v>405878</v>
      </c>
      <c r="DB182" s="202">
        <v>489600</v>
      </c>
      <c r="DC182" s="202">
        <v>626688</v>
      </c>
      <c r="DD182" s="202">
        <v>698170</v>
      </c>
    </row>
    <row r="183" spans="1:108" ht="13" customHeight="1">
      <c r="A183" s="1" t="s">
        <v>913</v>
      </c>
      <c r="C183" s="1" t="s">
        <v>93</v>
      </c>
      <c r="BN183" s="110" t="s">
        <v>914</v>
      </c>
      <c r="BS183">
        <v>4</v>
      </c>
      <c r="BT183" t="s">
        <v>915</v>
      </c>
      <c r="CB183" s="224" t="s">
        <v>907</v>
      </c>
      <c r="CC183" s="320">
        <v>1540</v>
      </c>
      <c r="CD183" s="321">
        <v>1650</v>
      </c>
      <c r="CE183" s="320">
        <v>1980</v>
      </c>
      <c r="CF183" s="321">
        <v>2286</v>
      </c>
      <c r="CG183" s="321">
        <v>2550</v>
      </c>
      <c r="CH183" s="322">
        <v>2812</v>
      </c>
      <c r="CI183" s="2"/>
      <c r="CJ183" s="683">
        <v>994</v>
      </c>
      <c r="CK183" s="683">
        <v>1159</v>
      </c>
      <c r="CL183" s="683">
        <v>1420</v>
      </c>
      <c r="CM183" s="683">
        <v>1995</v>
      </c>
      <c r="CN183" s="683">
        <v>2410</v>
      </c>
      <c r="CR183" s="110" t="s">
        <v>906</v>
      </c>
      <c r="CS183" s="200">
        <v>307732</v>
      </c>
      <c r="CT183" s="200">
        <v>354812</v>
      </c>
      <c r="CU183" s="200">
        <v>428000</v>
      </c>
      <c r="CV183" s="200">
        <v>547840</v>
      </c>
      <c r="CW183" s="200">
        <v>610328</v>
      </c>
      <c r="CX183" s="11"/>
      <c r="CY183" s="110" t="s">
        <v>906</v>
      </c>
      <c r="CZ183" s="200">
        <v>307732</v>
      </c>
      <c r="DA183" s="200">
        <v>354812</v>
      </c>
      <c r="DB183" s="200">
        <v>428000</v>
      </c>
      <c r="DC183" s="200">
        <v>547840</v>
      </c>
      <c r="DD183" s="200">
        <v>610328</v>
      </c>
    </row>
    <row r="184" spans="1:108" ht="13" customHeight="1">
      <c r="C184" s="16"/>
      <c r="D184" t="s">
        <v>916</v>
      </c>
      <c r="I184" s="1435" t="str">
        <f>H18</f>
        <v>Baler Place</v>
      </c>
      <c r="J184" s="1435"/>
      <c r="K184" s="1435"/>
      <c r="L184" s="1435"/>
      <c r="M184" s="1435"/>
      <c r="N184" s="1435"/>
      <c r="O184" s="1435"/>
      <c r="P184" s="1435"/>
      <c r="Q184" s="1435"/>
      <c r="R184" s="1435"/>
      <c r="S184" s="1435"/>
      <c r="T184" s="1435"/>
      <c r="U184" s="1435"/>
      <c r="V184" s="1435"/>
      <c r="W184" s="1435"/>
      <c r="X184" s="1435"/>
      <c r="Y184" s="1435"/>
      <c r="Z184" s="1435"/>
      <c r="AA184" s="1435"/>
      <c r="AB184" s="1435"/>
      <c r="AC184" s="1435"/>
      <c r="AD184" s="1435"/>
      <c r="AE184" s="1435"/>
      <c r="BC184" t="s">
        <v>917</v>
      </c>
      <c r="BN184" s="110" t="s">
        <v>918</v>
      </c>
      <c r="BS184">
        <v>4</v>
      </c>
      <c r="BT184" t="s">
        <v>919</v>
      </c>
      <c r="CB184" s="224" t="s">
        <v>910</v>
      </c>
      <c r="CC184" s="320">
        <v>1540</v>
      </c>
      <c r="CD184" s="321">
        <v>1650</v>
      </c>
      <c r="CE184" s="320">
        <v>1980</v>
      </c>
      <c r="CF184" s="321">
        <v>2286</v>
      </c>
      <c r="CG184" s="321">
        <v>2550</v>
      </c>
      <c r="CH184" s="322">
        <v>2812</v>
      </c>
      <c r="CI184" s="2"/>
      <c r="CJ184" s="683">
        <v>660</v>
      </c>
      <c r="CK184" s="683">
        <v>802</v>
      </c>
      <c r="CL184" s="683">
        <v>958</v>
      </c>
      <c r="CM184" s="683">
        <v>1158</v>
      </c>
      <c r="CN184" s="683">
        <v>1572</v>
      </c>
      <c r="CR184" s="110" t="s">
        <v>909</v>
      </c>
      <c r="CS184" s="202">
        <v>352022</v>
      </c>
      <c r="CT184" s="202">
        <v>405878</v>
      </c>
      <c r="CU184" s="202">
        <v>489600</v>
      </c>
      <c r="CV184" s="202">
        <v>626688</v>
      </c>
      <c r="CW184" s="202">
        <v>698170</v>
      </c>
      <c r="CX184" s="11"/>
      <c r="CY184" s="110" t="s">
        <v>909</v>
      </c>
      <c r="CZ184" s="202">
        <v>352022</v>
      </c>
      <c r="DA184" s="202">
        <v>405878</v>
      </c>
      <c r="DB184" s="202">
        <v>489600</v>
      </c>
      <c r="DC184" s="202">
        <v>626688</v>
      </c>
      <c r="DD184" s="202">
        <v>698170</v>
      </c>
    </row>
    <row r="185" spans="1:108" ht="13" customHeight="1">
      <c r="C185" s="16"/>
      <c r="D185" t="s">
        <v>920</v>
      </c>
      <c r="I185" s="1326" t="s">
        <v>921</v>
      </c>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BC185" t="s">
        <v>922</v>
      </c>
      <c r="BN185" s="110" t="s">
        <v>923</v>
      </c>
      <c r="BS185">
        <v>7</v>
      </c>
      <c r="BT185" t="s">
        <v>924</v>
      </c>
      <c r="CB185" s="224" t="s">
        <v>912</v>
      </c>
      <c r="CC185" s="320">
        <v>1634</v>
      </c>
      <c r="CD185" s="321">
        <v>1752</v>
      </c>
      <c r="CE185" s="320">
        <v>2102</v>
      </c>
      <c r="CF185" s="321">
        <v>2430</v>
      </c>
      <c r="CG185" s="321">
        <v>2710</v>
      </c>
      <c r="CH185" s="322">
        <v>2990</v>
      </c>
      <c r="CI185" s="2"/>
      <c r="CJ185" s="683">
        <v>1000</v>
      </c>
      <c r="CK185" s="683">
        <v>1292</v>
      </c>
      <c r="CL185" s="683">
        <v>1450</v>
      </c>
      <c r="CM185" s="683">
        <v>2043</v>
      </c>
      <c r="CN185" s="683">
        <v>2380</v>
      </c>
      <c r="CR185" s="110" t="s">
        <v>911</v>
      </c>
      <c r="CS185" s="200">
        <v>352022</v>
      </c>
      <c r="CT185" s="200">
        <v>405878</v>
      </c>
      <c r="CU185" s="200">
        <v>489600</v>
      </c>
      <c r="CV185" s="200">
        <v>626688</v>
      </c>
      <c r="CW185" s="200">
        <v>698170</v>
      </c>
      <c r="CX185" s="11"/>
      <c r="CY185" s="110" t="s">
        <v>911</v>
      </c>
      <c r="CZ185" s="200">
        <v>352022</v>
      </c>
      <c r="DA185" s="200">
        <v>405878</v>
      </c>
      <c r="DB185" s="200">
        <v>489600</v>
      </c>
      <c r="DC185" s="200">
        <v>626688</v>
      </c>
      <c r="DD185" s="200">
        <v>698170</v>
      </c>
    </row>
    <row r="186" spans="1:108" ht="13" customHeight="1">
      <c r="C186" s="16"/>
      <c r="E186" t="s">
        <v>925</v>
      </c>
      <c r="BN186" s="110" t="s">
        <v>926</v>
      </c>
      <c r="BS186">
        <v>4</v>
      </c>
      <c r="BT186" t="s">
        <v>927</v>
      </c>
      <c r="CB186" s="224" t="s">
        <v>915</v>
      </c>
      <c r="CC186" s="320">
        <v>2316</v>
      </c>
      <c r="CD186" s="321">
        <v>2482</v>
      </c>
      <c r="CE186" s="320">
        <v>2980</v>
      </c>
      <c r="CF186" s="321">
        <v>3442</v>
      </c>
      <c r="CG186" s="321">
        <v>3840</v>
      </c>
      <c r="CH186" s="322">
        <v>4236</v>
      </c>
      <c r="CI186" s="2"/>
      <c r="CJ186" s="683">
        <v>2340</v>
      </c>
      <c r="CK186" s="683">
        <v>2367</v>
      </c>
      <c r="CL186" s="683">
        <v>2879</v>
      </c>
      <c r="CM186" s="683">
        <v>3990</v>
      </c>
      <c r="CN186" s="683">
        <v>4400</v>
      </c>
      <c r="CR186" s="110" t="s">
        <v>914</v>
      </c>
      <c r="CS186" s="202">
        <v>404366</v>
      </c>
      <c r="CT186" s="202">
        <v>466230</v>
      </c>
      <c r="CU186" s="202">
        <v>562400</v>
      </c>
      <c r="CV186" s="202">
        <v>719872</v>
      </c>
      <c r="CW186" s="202">
        <v>801982</v>
      </c>
      <c r="CX186" s="11"/>
      <c r="CY186" s="110" t="s">
        <v>914</v>
      </c>
      <c r="CZ186" s="202">
        <v>404366</v>
      </c>
      <c r="DA186" s="202">
        <v>466230</v>
      </c>
      <c r="DB186" s="202">
        <v>562400</v>
      </c>
      <c r="DC186" s="202">
        <v>719872</v>
      </c>
      <c r="DD186" s="202">
        <v>801982</v>
      </c>
    </row>
    <row r="187" spans="1:108" ht="13" customHeight="1">
      <c r="C187" s="16"/>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110" t="s">
        <v>928</v>
      </c>
      <c r="BS187">
        <v>6</v>
      </c>
      <c r="BT187" t="s">
        <v>929</v>
      </c>
      <c r="CB187" s="224" t="s">
        <v>919</v>
      </c>
      <c r="CC187" s="320">
        <v>2570</v>
      </c>
      <c r="CD187" s="321">
        <v>2752</v>
      </c>
      <c r="CE187" s="320">
        <v>3304</v>
      </c>
      <c r="CF187" s="321">
        <v>3816</v>
      </c>
      <c r="CG187" s="321">
        <v>4256</v>
      </c>
      <c r="CH187" s="322">
        <v>4698</v>
      </c>
      <c r="CI187" s="2"/>
      <c r="CJ187" s="683">
        <v>1819</v>
      </c>
      <c r="CK187" s="683">
        <v>2043</v>
      </c>
      <c r="CL187" s="683">
        <v>2684</v>
      </c>
      <c r="CM187" s="683">
        <v>3634</v>
      </c>
      <c r="CN187" s="683">
        <v>3915</v>
      </c>
      <c r="CR187" s="110" t="s">
        <v>918</v>
      </c>
      <c r="CS187" s="200">
        <v>384234</v>
      </c>
      <c r="CT187" s="200">
        <v>443018</v>
      </c>
      <c r="CU187" s="200">
        <v>534400</v>
      </c>
      <c r="CV187" s="200">
        <v>684032</v>
      </c>
      <c r="CW187" s="200">
        <v>762054</v>
      </c>
      <c r="CX187" s="11"/>
      <c r="CY187" s="110" t="s">
        <v>918</v>
      </c>
      <c r="CZ187" s="200">
        <v>384234</v>
      </c>
      <c r="DA187" s="200">
        <v>443018</v>
      </c>
      <c r="DB187" s="200">
        <v>534400</v>
      </c>
      <c r="DC187" s="200">
        <v>684032</v>
      </c>
      <c r="DD187" s="200">
        <v>762054</v>
      </c>
    </row>
    <row r="188" spans="1:108" ht="13" customHeight="1">
      <c r="C188" s="16"/>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110" t="s">
        <v>930</v>
      </c>
      <c r="BS188">
        <v>7</v>
      </c>
      <c r="BT188" t="s">
        <v>931</v>
      </c>
      <c r="CB188" s="224" t="s">
        <v>924</v>
      </c>
      <c r="CC188" s="320">
        <v>1824</v>
      </c>
      <c r="CD188" s="321">
        <v>1954</v>
      </c>
      <c r="CE188" s="320">
        <v>2344</v>
      </c>
      <c r="CF188" s="321">
        <v>2710</v>
      </c>
      <c r="CG188" s="321">
        <v>3022</v>
      </c>
      <c r="CH188" s="322">
        <v>3336</v>
      </c>
      <c r="CI188" s="2"/>
      <c r="CJ188" s="683">
        <v>1209</v>
      </c>
      <c r="CK188" s="683">
        <v>1217</v>
      </c>
      <c r="CL188" s="683">
        <v>1596</v>
      </c>
      <c r="CM188" s="683">
        <v>2249</v>
      </c>
      <c r="CN188" s="683">
        <v>2708</v>
      </c>
      <c r="CR188" s="110" t="s">
        <v>923</v>
      </c>
      <c r="CS188" s="202">
        <v>352022</v>
      </c>
      <c r="CT188" s="202">
        <v>405878</v>
      </c>
      <c r="CU188" s="202">
        <v>489600</v>
      </c>
      <c r="CV188" s="202">
        <v>626688</v>
      </c>
      <c r="CW188" s="202">
        <v>698170</v>
      </c>
      <c r="CX188" s="11"/>
      <c r="CY188" s="110" t="s">
        <v>923</v>
      </c>
      <c r="CZ188" s="202">
        <v>352022</v>
      </c>
      <c r="DA188" s="202">
        <v>405878</v>
      </c>
      <c r="DB188" s="202">
        <v>489600</v>
      </c>
      <c r="DC188" s="202">
        <v>626688</v>
      </c>
      <c r="DD188" s="202">
        <v>698170</v>
      </c>
    </row>
    <row r="189" spans="1:108" ht="13" customHeight="1">
      <c r="C189" s="16"/>
      <c r="D189" t="s">
        <v>932</v>
      </c>
      <c r="I189" s="1472" t="s">
        <v>817</v>
      </c>
      <c r="J189" s="1359"/>
      <c r="K189" s="1359"/>
      <c r="L189" s="1359"/>
      <c r="M189" s="1359"/>
      <c r="N189" s="1359"/>
      <c r="O189" s="1359"/>
      <c r="P189" s="1359"/>
      <c r="Q189" t="s">
        <v>933</v>
      </c>
      <c r="T189" s="1359" t="s">
        <v>934</v>
      </c>
      <c r="U189" s="1359"/>
      <c r="V189" s="1359"/>
      <c r="W189" s="1359"/>
      <c r="X189" s="1359"/>
      <c r="Y189" s="1359"/>
      <c r="Z189" s="1359"/>
      <c r="AA189" s="1359"/>
      <c r="AB189" s="1359"/>
      <c r="AC189" s="1359"/>
      <c r="AD189" s="1359"/>
      <c r="AE189" s="1359"/>
      <c r="BC189" t="s">
        <v>547</v>
      </c>
      <c r="BH189" s="2" t="s">
        <v>798</v>
      </c>
      <c r="BN189" s="110" t="s">
        <v>935</v>
      </c>
      <c r="BS189">
        <v>5</v>
      </c>
      <c r="BT189" t="s">
        <v>936</v>
      </c>
      <c r="CB189" s="224" t="s">
        <v>927</v>
      </c>
      <c r="CC189" s="320">
        <v>2762</v>
      </c>
      <c r="CD189" s="321">
        <v>2958</v>
      </c>
      <c r="CE189" s="320">
        <v>3552</v>
      </c>
      <c r="CF189" s="321">
        <v>4102</v>
      </c>
      <c r="CG189" s="321">
        <v>4576</v>
      </c>
      <c r="CH189" s="322">
        <v>5050</v>
      </c>
      <c r="CI189" s="2"/>
      <c r="CJ189" s="683">
        <v>2200</v>
      </c>
      <c r="CK189" s="683">
        <v>2344</v>
      </c>
      <c r="CL189" s="683">
        <v>2783</v>
      </c>
      <c r="CM189" s="683">
        <v>3769</v>
      </c>
      <c r="CN189" s="683">
        <v>4467</v>
      </c>
      <c r="CR189" s="110" t="s">
        <v>926</v>
      </c>
      <c r="CS189" s="200">
        <v>396888</v>
      </c>
      <c r="CT189" s="200">
        <v>457608</v>
      </c>
      <c r="CU189" s="200">
        <v>552000</v>
      </c>
      <c r="CV189" s="200">
        <v>706560</v>
      </c>
      <c r="CW189" s="200">
        <v>787152</v>
      </c>
      <c r="CX189" s="11"/>
      <c r="CY189" s="110" t="s">
        <v>926</v>
      </c>
      <c r="CZ189" s="200">
        <v>396888</v>
      </c>
      <c r="DA189" s="200">
        <v>457608</v>
      </c>
      <c r="DB189" s="200">
        <v>552000</v>
      </c>
      <c r="DC189" s="200">
        <v>706560</v>
      </c>
      <c r="DD189" s="200">
        <v>787152</v>
      </c>
    </row>
    <row r="190" spans="1:108" ht="13" customHeight="1">
      <c r="C190" s="16"/>
      <c r="D190" t="s">
        <v>937</v>
      </c>
      <c r="I190" s="1326">
        <v>95023</v>
      </c>
      <c r="J190" s="1326"/>
      <c r="K190" s="1326"/>
      <c r="L190" s="1326"/>
      <c r="M190" s="1326"/>
      <c r="N190" s="1326"/>
      <c r="O190" t="s">
        <v>938</v>
      </c>
      <c r="T190" s="1500" t="s">
        <v>939</v>
      </c>
      <c r="U190" s="1500"/>
      <c r="V190" s="1500"/>
      <c r="W190" s="1500"/>
      <c r="X190" s="1500"/>
      <c r="Y190" s="1500"/>
      <c r="Z190" s="1500"/>
      <c r="AA190" s="1500"/>
      <c r="AB190" s="1500"/>
      <c r="AC190" s="1500"/>
      <c r="AD190" s="1500"/>
      <c r="AE190" s="1500"/>
      <c r="BC190" t="s">
        <v>940</v>
      </c>
      <c r="BH190" t="s">
        <v>940</v>
      </c>
      <c r="BN190" s="110" t="s">
        <v>941</v>
      </c>
      <c r="BS190">
        <v>6</v>
      </c>
      <c r="BT190" t="s">
        <v>942</v>
      </c>
      <c r="CB190" s="224" t="s">
        <v>929</v>
      </c>
      <c r="CC190" s="320">
        <v>2064</v>
      </c>
      <c r="CD190" s="321">
        <v>2210</v>
      </c>
      <c r="CE190" s="320">
        <v>2652</v>
      </c>
      <c r="CF190" s="321">
        <v>3064</v>
      </c>
      <c r="CG190" s="321">
        <v>3420</v>
      </c>
      <c r="CH190" s="322">
        <v>3772</v>
      </c>
      <c r="CI190" s="2"/>
      <c r="CJ190" s="683">
        <v>1543</v>
      </c>
      <c r="CK190" s="683">
        <v>1666</v>
      </c>
      <c r="CL190" s="683">
        <v>2072</v>
      </c>
      <c r="CM190" s="683">
        <v>2884</v>
      </c>
      <c r="CN190" s="683">
        <v>3321</v>
      </c>
      <c r="CR190" s="110" t="s">
        <v>928</v>
      </c>
      <c r="CS190" s="202">
        <v>331890</v>
      </c>
      <c r="CT190" s="202">
        <v>382666</v>
      </c>
      <c r="CU190" s="202">
        <v>461600</v>
      </c>
      <c r="CV190" s="202">
        <v>590848</v>
      </c>
      <c r="CW190" s="202">
        <v>658242</v>
      </c>
      <c r="CX190" s="11"/>
      <c r="CY190" s="110" t="s">
        <v>928</v>
      </c>
      <c r="CZ190" s="202">
        <v>331890</v>
      </c>
      <c r="DA190" s="202">
        <v>382666</v>
      </c>
      <c r="DB190" s="202">
        <v>461600</v>
      </c>
      <c r="DC190" s="202">
        <v>590848</v>
      </c>
      <c r="DD190" s="202">
        <v>658242</v>
      </c>
    </row>
    <row r="191" spans="1:108" ht="13" customHeight="1">
      <c r="C191" s="16"/>
      <c r="D191" t="s">
        <v>943</v>
      </c>
      <c r="N191" s="1477" t="s">
        <v>944</v>
      </c>
      <c r="O191" s="1477"/>
      <c r="P191" s="1477"/>
      <c r="Q191" s="1477"/>
      <c r="R191" s="1477"/>
      <c r="S191" s="1477"/>
      <c r="T191" s="1477"/>
      <c r="U191" s="1477"/>
      <c r="V191" s="1477"/>
      <c r="W191" s="1477"/>
      <c r="X191" s="1477"/>
      <c r="Y191" s="1477"/>
      <c r="Z191" s="1477"/>
      <c r="AA191" s="1477"/>
      <c r="AB191" s="1477"/>
      <c r="AC191" s="1477"/>
      <c r="AD191" s="1477"/>
      <c r="AE191" s="1477"/>
      <c r="BC191" t="s">
        <v>945</v>
      </c>
      <c r="BH191" t="s">
        <v>945</v>
      </c>
      <c r="BN191" s="110" t="s">
        <v>946</v>
      </c>
      <c r="BS191">
        <v>4</v>
      </c>
      <c r="BT191" t="s">
        <v>934</v>
      </c>
      <c r="CB191" s="224" t="s">
        <v>931</v>
      </c>
      <c r="CC191" s="320">
        <v>1612</v>
      </c>
      <c r="CD191" s="321">
        <v>1726</v>
      </c>
      <c r="CE191" s="320">
        <v>2072</v>
      </c>
      <c r="CF191" s="321">
        <v>2394</v>
      </c>
      <c r="CG191" s="321">
        <v>2672</v>
      </c>
      <c r="CH191" s="322">
        <v>2948</v>
      </c>
      <c r="CI191" s="2"/>
      <c r="CJ191" s="683">
        <v>803</v>
      </c>
      <c r="CK191" s="683">
        <v>887</v>
      </c>
      <c r="CL191" s="683">
        <v>1165</v>
      </c>
      <c r="CM191" s="683">
        <v>1642</v>
      </c>
      <c r="CN191" s="683">
        <v>1867</v>
      </c>
      <c r="CR191" s="110" t="s">
        <v>930</v>
      </c>
      <c r="CS191" s="200">
        <v>352022</v>
      </c>
      <c r="CT191" s="200">
        <v>405878</v>
      </c>
      <c r="CU191" s="200">
        <v>489600</v>
      </c>
      <c r="CV191" s="200">
        <v>626688</v>
      </c>
      <c r="CW191" s="200">
        <v>698170</v>
      </c>
      <c r="CX191" s="11"/>
      <c r="CY191" s="110" t="s">
        <v>930</v>
      </c>
      <c r="CZ191" s="200">
        <v>352022</v>
      </c>
      <c r="DA191" s="200">
        <v>405878</v>
      </c>
      <c r="DB191" s="200">
        <v>489600</v>
      </c>
      <c r="DC191" s="200">
        <v>626688</v>
      </c>
      <c r="DD191" s="200">
        <v>698170</v>
      </c>
    </row>
    <row r="192" spans="1:108" ht="13" customHeight="1">
      <c r="C192" s="16"/>
      <c r="M192" s="1178"/>
      <c r="N192" s="1478"/>
      <c r="O192" s="1478"/>
      <c r="P192" s="1478"/>
      <c r="Q192" s="1478"/>
      <c r="R192" s="1478"/>
      <c r="S192" s="1478"/>
      <c r="T192" s="1478"/>
      <c r="U192" s="1478"/>
      <c r="V192" s="1478"/>
      <c r="W192" s="1478"/>
      <c r="X192" s="1478"/>
      <c r="Y192" s="1478"/>
      <c r="Z192" s="1478"/>
      <c r="AA192" s="1478"/>
      <c r="AB192" s="1478"/>
      <c r="AC192" s="1478"/>
      <c r="AD192" s="1478"/>
      <c r="AE192" s="1478"/>
      <c r="BC192" t="s">
        <v>947</v>
      </c>
      <c r="BH192" s="2" t="s">
        <v>948</v>
      </c>
      <c r="BN192" s="110" t="s">
        <v>949</v>
      </c>
      <c r="BS192">
        <v>5</v>
      </c>
      <c r="BT192" t="s">
        <v>950</v>
      </c>
      <c r="CB192" s="224" t="s">
        <v>936</v>
      </c>
      <c r="CC192" s="320">
        <v>1794</v>
      </c>
      <c r="CD192" s="321">
        <v>1922</v>
      </c>
      <c r="CE192" s="320">
        <v>2304</v>
      </c>
      <c r="CF192" s="321">
        <v>2664</v>
      </c>
      <c r="CG192" s="321">
        <v>2972</v>
      </c>
      <c r="CH192" s="322">
        <v>3280</v>
      </c>
      <c r="CI192" s="2"/>
      <c r="CJ192" s="683">
        <v>1517</v>
      </c>
      <c r="CK192" s="683">
        <v>1611</v>
      </c>
      <c r="CL192" s="683">
        <v>2010</v>
      </c>
      <c r="CM192" s="683">
        <v>2707</v>
      </c>
      <c r="CN192" s="683">
        <v>3304</v>
      </c>
      <c r="CR192" s="110" t="s">
        <v>935</v>
      </c>
      <c r="CS192" s="202">
        <v>324988</v>
      </c>
      <c r="CT192" s="202">
        <v>374708</v>
      </c>
      <c r="CU192" s="202">
        <v>452000</v>
      </c>
      <c r="CV192" s="202">
        <v>578560</v>
      </c>
      <c r="CW192" s="202">
        <v>644552</v>
      </c>
      <c r="CX192" s="11"/>
      <c r="CY192" s="110" t="s">
        <v>935</v>
      </c>
      <c r="CZ192" s="202">
        <v>324988</v>
      </c>
      <c r="DA192" s="202">
        <v>374708</v>
      </c>
      <c r="DB192" s="202">
        <v>452000</v>
      </c>
      <c r="DC192" s="202">
        <v>578560</v>
      </c>
      <c r="DD192" s="202">
        <v>644552</v>
      </c>
    </row>
    <row r="193" spans="1:108" ht="13" customHeight="1">
      <c r="C193" s="16"/>
      <c r="D193" t="s">
        <v>951</v>
      </c>
      <c r="M193" s="1178"/>
      <c r="N193" s="706"/>
      <c r="O193" s="706"/>
      <c r="P193" s="706"/>
      <c r="Q193" s="706"/>
      <c r="R193" s="706"/>
      <c r="S193" s="706"/>
      <c r="T193" s="1504" t="s">
        <v>896</v>
      </c>
      <c r="U193" s="1504"/>
      <c r="V193" s="1504"/>
      <c r="W193" s="1504"/>
      <c r="X193" s="1504"/>
      <c r="Y193" s="1504"/>
      <c r="Z193" s="1504"/>
      <c r="AA193" s="1504"/>
      <c r="AB193" s="1504"/>
      <c r="AC193" s="1504"/>
      <c r="AD193" s="1504"/>
      <c r="AE193" s="1504"/>
      <c r="AF193" s="1504"/>
      <c r="AG193" s="1504"/>
      <c r="AH193" s="1504"/>
      <c r="AI193" s="1504"/>
      <c r="BC193" t="s">
        <v>952</v>
      </c>
      <c r="BH193" s="2" t="s">
        <v>953</v>
      </c>
      <c r="BN193" s="110" t="s">
        <v>954</v>
      </c>
      <c r="BS193">
        <v>4</v>
      </c>
      <c r="BT193" t="s">
        <v>955</v>
      </c>
      <c r="CB193" s="224" t="s">
        <v>942</v>
      </c>
      <c r="CC193" s="320">
        <v>2064</v>
      </c>
      <c r="CD193" s="321">
        <v>2210</v>
      </c>
      <c r="CE193" s="320">
        <v>2652</v>
      </c>
      <c r="CF193" s="321">
        <v>3064</v>
      </c>
      <c r="CG193" s="321">
        <v>3420</v>
      </c>
      <c r="CH193" s="322">
        <v>3772</v>
      </c>
      <c r="CI193" s="2"/>
      <c r="CJ193" s="683">
        <v>1543</v>
      </c>
      <c r="CK193" s="683">
        <v>1666</v>
      </c>
      <c r="CL193" s="683">
        <v>2072</v>
      </c>
      <c r="CM193" s="683">
        <v>2884</v>
      </c>
      <c r="CN193" s="683">
        <v>3321</v>
      </c>
      <c r="CR193" s="110" t="s">
        <v>941</v>
      </c>
      <c r="CS193" s="200">
        <v>331890</v>
      </c>
      <c r="CT193" s="200">
        <v>382666</v>
      </c>
      <c r="CU193" s="200">
        <v>461600</v>
      </c>
      <c r="CV193" s="200">
        <v>590848</v>
      </c>
      <c r="CW193" s="200">
        <v>658242</v>
      </c>
      <c r="CX193" s="11"/>
      <c r="CY193" s="110" t="s">
        <v>941</v>
      </c>
      <c r="CZ193" s="200">
        <v>331890</v>
      </c>
      <c r="DA193" s="200">
        <v>382666</v>
      </c>
      <c r="DB193" s="200">
        <v>461600</v>
      </c>
      <c r="DC193" s="200">
        <v>590848</v>
      </c>
      <c r="DD193" s="200">
        <v>658242</v>
      </c>
    </row>
    <row r="194" spans="1:108" ht="13" customHeight="1">
      <c r="C194" s="16"/>
      <c r="D194" s="2" t="s">
        <v>956</v>
      </c>
      <c r="M194" s="1178"/>
      <c r="N194" s="706"/>
      <c r="O194" s="706"/>
      <c r="P194" s="706"/>
      <c r="Q194" s="706"/>
      <c r="R194" s="706"/>
      <c r="S194" s="706"/>
      <c r="AH194" s="1367" t="s">
        <v>694</v>
      </c>
      <c r="AI194" s="1367"/>
      <c r="BC194" t="s">
        <v>948</v>
      </c>
      <c r="BN194" s="110" t="s">
        <v>957</v>
      </c>
      <c r="BS194">
        <v>2</v>
      </c>
      <c r="BT194" t="s">
        <v>958</v>
      </c>
      <c r="CB194" s="224" t="s">
        <v>934</v>
      </c>
      <c r="CC194" s="320">
        <v>2142</v>
      </c>
      <c r="CD194" s="321">
        <v>2296</v>
      </c>
      <c r="CE194" s="320">
        <v>2754</v>
      </c>
      <c r="CF194" s="321">
        <v>3182</v>
      </c>
      <c r="CG194" s="321">
        <v>3550</v>
      </c>
      <c r="CH194" s="322">
        <v>3916</v>
      </c>
      <c r="CI194" s="2"/>
      <c r="CJ194" s="683">
        <v>1707</v>
      </c>
      <c r="CK194" s="683">
        <v>1917</v>
      </c>
      <c r="CL194" s="683">
        <v>2519</v>
      </c>
      <c r="CM194" s="683">
        <v>3550</v>
      </c>
      <c r="CN194" s="683">
        <v>4121</v>
      </c>
      <c r="CR194" s="110" t="s">
        <v>946</v>
      </c>
      <c r="CS194" s="202">
        <v>352022</v>
      </c>
      <c r="CT194" s="202">
        <v>405878</v>
      </c>
      <c r="CU194" s="202">
        <v>489600</v>
      </c>
      <c r="CV194" s="202">
        <v>626688</v>
      </c>
      <c r="CW194" s="202">
        <v>698170</v>
      </c>
      <c r="CX194" s="11"/>
      <c r="CY194" s="110" t="s">
        <v>946</v>
      </c>
      <c r="CZ194" s="202">
        <v>352022</v>
      </c>
      <c r="DA194" s="202">
        <v>405878</v>
      </c>
      <c r="DB194" s="202">
        <v>489600</v>
      </c>
      <c r="DC194" s="202">
        <v>626688</v>
      </c>
      <c r="DD194" s="202">
        <v>698170</v>
      </c>
    </row>
    <row r="195" spans="1:108" ht="13" customHeight="1">
      <c r="C195" s="16"/>
      <c r="D195" t="s">
        <v>959</v>
      </c>
      <c r="T195" s="1367" t="s">
        <v>847</v>
      </c>
      <c r="U195" s="1367"/>
      <c r="W195" t="s">
        <v>960</v>
      </c>
      <c r="AH195" s="1367">
        <v>18</v>
      </c>
      <c r="AI195" s="1367"/>
      <c r="BC195" t="s">
        <v>961</v>
      </c>
      <c r="BN195" s="110" t="s">
        <v>962</v>
      </c>
      <c r="BS195">
        <v>6</v>
      </c>
      <c r="BT195" t="s">
        <v>963</v>
      </c>
      <c r="CB195" s="224" t="s">
        <v>950</v>
      </c>
      <c r="CC195" s="320">
        <v>1794</v>
      </c>
      <c r="CD195" s="321">
        <v>1922</v>
      </c>
      <c r="CE195" s="320">
        <v>2304</v>
      </c>
      <c r="CF195" s="321">
        <v>2664</v>
      </c>
      <c r="CG195" s="321">
        <v>2972</v>
      </c>
      <c r="CH195" s="322">
        <v>3280</v>
      </c>
      <c r="CI195" s="2"/>
      <c r="CJ195" s="683">
        <v>1517</v>
      </c>
      <c r="CK195" s="683">
        <v>1611</v>
      </c>
      <c r="CL195" s="683">
        <v>2010</v>
      </c>
      <c r="CM195" s="683">
        <v>2707</v>
      </c>
      <c r="CN195" s="683">
        <v>3304</v>
      </c>
      <c r="CR195" s="110" t="s">
        <v>949</v>
      </c>
      <c r="CS195" s="200">
        <v>324988</v>
      </c>
      <c r="CT195" s="200">
        <v>374708</v>
      </c>
      <c r="CU195" s="200">
        <v>452000</v>
      </c>
      <c r="CV195" s="200">
        <v>578560</v>
      </c>
      <c r="CW195" s="200">
        <v>644552</v>
      </c>
      <c r="CX195" s="11"/>
      <c r="CY195" s="110" t="s">
        <v>949</v>
      </c>
      <c r="CZ195" s="200">
        <v>324988</v>
      </c>
      <c r="DA195" s="200">
        <v>374708</v>
      </c>
      <c r="DB195" s="200">
        <v>452000</v>
      </c>
      <c r="DC195" s="200">
        <v>578560</v>
      </c>
      <c r="DD195" s="200">
        <v>644552</v>
      </c>
    </row>
    <row r="196" spans="1:108" ht="13" customHeight="1">
      <c r="C196" s="16"/>
      <c r="D196" t="s">
        <v>964</v>
      </c>
      <c r="T196" s="1379" t="s">
        <v>694</v>
      </c>
      <c r="U196" s="1379"/>
      <c r="W196" t="s">
        <v>965</v>
      </c>
      <c r="AH196" s="1367">
        <v>29</v>
      </c>
      <c r="AI196" s="1367"/>
      <c r="BN196" s="110" t="s">
        <v>966</v>
      </c>
      <c r="BS196">
        <v>4</v>
      </c>
      <c r="BT196" t="s">
        <v>967</v>
      </c>
      <c r="CB196" s="224" t="s">
        <v>955</v>
      </c>
      <c r="CC196" s="320">
        <v>2652</v>
      </c>
      <c r="CD196" s="321">
        <v>2840</v>
      </c>
      <c r="CE196" s="320">
        <v>3410</v>
      </c>
      <c r="CF196" s="321">
        <v>3940</v>
      </c>
      <c r="CG196" s="321">
        <v>4394</v>
      </c>
      <c r="CH196" s="322">
        <v>4848</v>
      </c>
      <c r="CI196" s="2"/>
      <c r="CJ196" s="683">
        <v>2062</v>
      </c>
      <c r="CK196" s="683">
        <v>2248</v>
      </c>
      <c r="CL196" s="683">
        <v>2833</v>
      </c>
      <c r="CM196" s="683">
        <v>3819</v>
      </c>
      <c r="CN196" s="683">
        <v>4638</v>
      </c>
      <c r="CR196" s="110" t="s">
        <v>954</v>
      </c>
      <c r="CS196" s="202">
        <v>353173</v>
      </c>
      <c r="CT196" s="202">
        <v>407205</v>
      </c>
      <c r="CU196" s="202">
        <v>491200</v>
      </c>
      <c r="CV196" s="202">
        <v>628736</v>
      </c>
      <c r="CW196" s="202">
        <v>700451</v>
      </c>
      <c r="CX196" s="11"/>
      <c r="CY196" s="110" t="s">
        <v>954</v>
      </c>
      <c r="CZ196" s="202">
        <v>353173</v>
      </c>
      <c r="DA196" s="202">
        <v>407205</v>
      </c>
      <c r="DB196" s="202">
        <v>491200</v>
      </c>
      <c r="DC196" s="202">
        <v>628736</v>
      </c>
      <c r="DD196" s="202">
        <v>700451</v>
      </c>
    </row>
    <row r="197" spans="1:108" ht="13" customHeight="1">
      <c r="C197" s="16"/>
      <c r="D197" s="2" t="s">
        <v>968</v>
      </c>
      <c r="T197" s="1379" t="s">
        <v>694</v>
      </c>
      <c r="U197" s="1379"/>
      <c r="W197" t="s">
        <v>969</v>
      </c>
      <c r="AH197" s="1367">
        <v>17</v>
      </c>
      <c r="AI197" s="1367"/>
      <c r="BC197" t="s">
        <v>547</v>
      </c>
      <c r="BN197" s="110" t="s">
        <v>970</v>
      </c>
      <c r="BS197">
        <v>2</v>
      </c>
      <c r="BT197" t="s">
        <v>971</v>
      </c>
      <c r="CB197" s="224" t="s">
        <v>958</v>
      </c>
      <c r="CC197" s="320">
        <v>3426</v>
      </c>
      <c r="CD197" s="321">
        <v>3672</v>
      </c>
      <c r="CE197" s="320">
        <v>4406</v>
      </c>
      <c r="CF197" s="321">
        <v>5090</v>
      </c>
      <c r="CG197" s="321">
        <v>5680</v>
      </c>
      <c r="CH197" s="322">
        <v>6266</v>
      </c>
      <c r="CI197" s="2"/>
      <c r="CJ197" s="683">
        <v>2292</v>
      </c>
      <c r="CK197" s="683">
        <v>2818</v>
      </c>
      <c r="CL197" s="683">
        <v>3359</v>
      </c>
      <c r="CM197" s="683">
        <v>4112</v>
      </c>
      <c r="CN197" s="683">
        <v>4473</v>
      </c>
      <c r="CR197" s="110" t="s">
        <v>957</v>
      </c>
      <c r="CS197" s="200">
        <v>689665</v>
      </c>
      <c r="CT197" s="200">
        <v>795177</v>
      </c>
      <c r="CU197" s="200">
        <v>959200</v>
      </c>
      <c r="CV197" s="200">
        <v>1227776</v>
      </c>
      <c r="CW197" s="200">
        <v>1367819</v>
      </c>
      <c r="CX197" s="11"/>
      <c r="CY197" s="110" t="s">
        <v>957</v>
      </c>
      <c r="CZ197" s="200">
        <v>689665</v>
      </c>
      <c r="DA197" s="200">
        <v>795177</v>
      </c>
      <c r="DB197" s="200">
        <v>959200</v>
      </c>
      <c r="DC197" s="200">
        <v>1227776</v>
      </c>
      <c r="DD197" s="200">
        <v>1367819</v>
      </c>
    </row>
    <row r="198" spans="1:108" s="11" customFormat="1" ht="13" customHeight="1">
      <c r="A198"/>
      <c r="B198"/>
      <c r="C198" s="16"/>
      <c r="D198" s="2" t="s">
        <v>972</v>
      </c>
      <c r="E198"/>
      <c r="F198"/>
      <c r="G198"/>
      <c r="H198"/>
      <c r="I198"/>
      <c r="J198"/>
      <c r="K198"/>
      <c r="L198"/>
      <c r="M198"/>
      <c r="N198"/>
      <c r="O198"/>
      <c r="P198"/>
      <c r="Q198"/>
      <c r="R198"/>
      <c r="S198"/>
      <c r="T198" s="1379"/>
      <c r="U198" s="1379"/>
      <c r="V198"/>
      <c r="X198" s="1483" t="s">
        <v>973</v>
      </c>
      <c r="Y198" s="1483"/>
      <c r="Z198" s="1483"/>
      <c r="AA198" s="1483"/>
      <c r="AB198" s="1483"/>
      <c r="AC198" s="1483"/>
      <c r="AD198" s="1483"/>
      <c r="AE198" s="1483"/>
      <c r="AF198" s="1483"/>
      <c r="AG198" s="1483"/>
      <c r="AH198" s="1483"/>
      <c r="AI198" s="1483"/>
      <c r="AJ198" s="1483"/>
      <c r="AK198" s="1483"/>
      <c r="AL198" s="1483"/>
      <c r="AM198" s="1483"/>
      <c r="AN198" s="1483"/>
      <c r="AO198" s="1483"/>
      <c r="AP198" s="1483"/>
      <c r="AQ198" s="1483"/>
      <c r="AR198" s="1483"/>
      <c r="AS198" s="1483"/>
      <c r="AT198" s="1483"/>
      <c r="AU198"/>
      <c r="AV198"/>
      <c r="AW198"/>
      <c r="AX198"/>
      <c r="AY198"/>
      <c r="AZ198" s="23"/>
      <c r="BA198" s="23"/>
      <c r="BC198" s="11" t="s">
        <v>798</v>
      </c>
      <c r="BD198"/>
      <c r="BN198" s="110" t="s">
        <v>974</v>
      </c>
      <c r="BO198"/>
      <c r="BP198"/>
      <c r="BQ198"/>
      <c r="BR198"/>
      <c r="BS198">
        <v>4</v>
      </c>
      <c r="BT198" t="s">
        <v>975</v>
      </c>
      <c r="BU198"/>
      <c r="BV198" s="24"/>
      <c r="CB198" s="224" t="s">
        <v>963</v>
      </c>
      <c r="CC198" s="320">
        <v>1686</v>
      </c>
      <c r="CD198" s="321">
        <v>1808</v>
      </c>
      <c r="CE198" s="320">
        <v>2170</v>
      </c>
      <c r="CF198" s="321">
        <v>2506</v>
      </c>
      <c r="CG198" s="321">
        <v>2796</v>
      </c>
      <c r="CH198" s="322">
        <v>3086</v>
      </c>
      <c r="CI198" s="2"/>
      <c r="CJ198" s="683">
        <v>1122</v>
      </c>
      <c r="CK198" s="683">
        <v>1245</v>
      </c>
      <c r="CL198" s="683">
        <v>1607</v>
      </c>
      <c r="CM198" s="683">
        <v>2265</v>
      </c>
      <c r="CN198" s="683">
        <v>2727</v>
      </c>
      <c r="CR198" s="110" t="s">
        <v>962</v>
      </c>
      <c r="CS198" s="202">
        <v>307732</v>
      </c>
      <c r="CT198" s="202">
        <v>354812</v>
      </c>
      <c r="CU198" s="202">
        <v>428000</v>
      </c>
      <c r="CV198" s="202">
        <v>547840</v>
      </c>
      <c r="CW198" s="202">
        <v>610328</v>
      </c>
      <c r="CY198" s="110" t="s">
        <v>962</v>
      </c>
      <c r="CZ198" s="202">
        <v>307732</v>
      </c>
      <c r="DA198" s="202">
        <v>354812</v>
      </c>
      <c r="DB198" s="202">
        <v>428000</v>
      </c>
      <c r="DC198" s="202">
        <v>547840</v>
      </c>
      <c r="DD198" s="202">
        <v>610328</v>
      </c>
    </row>
    <row r="199" spans="1:108" s="11" customFormat="1" ht="13" customHeight="1">
      <c r="A199"/>
      <c r="B199"/>
      <c r="C199" s="16"/>
      <c r="D199" s="68" t="s">
        <v>976</v>
      </c>
      <c r="E199"/>
      <c r="F199"/>
      <c r="G199"/>
      <c r="H199"/>
      <c r="I199"/>
      <c r="J199"/>
      <c r="K199"/>
      <c r="L199"/>
      <c r="M199"/>
      <c r="N199"/>
      <c r="O199"/>
      <c r="P199"/>
      <c r="Q199"/>
      <c r="R199"/>
      <c r="S199"/>
      <c r="T199" s="1367" t="s">
        <v>847</v>
      </c>
      <c r="U199" s="1367"/>
      <c r="V199"/>
      <c r="W199"/>
      <c r="X199" s="1483"/>
      <c r="Y199" s="1483"/>
      <c r="Z199" s="1483"/>
      <c r="AA199" s="1483"/>
      <c r="AB199" s="1483"/>
      <c r="AC199" s="1483"/>
      <c r="AD199" s="1483"/>
      <c r="AE199" s="1483"/>
      <c r="AF199" s="1483"/>
      <c r="AG199" s="1483"/>
      <c r="AH199" s="1483"/>
      <c r="AI199" s="1483"/>
      <c r="AJ199" s="1483"/>
      <c r="AK199" s="1483"/>
      <c r="AL199" s="1483"/>
      <c r="AM199" s="1483"/>
      <c r="AN199" s="1483"/>
      <c r="AO199" s="1483"/>
      <c r="AP199" s="1483"/>
      <c r="AQ199" s="1483"/>
      <c r="AR199" s="1483"/>
      <c r="AS199" s="1483"/>
      <c r="AT199" s="1483"/>
      <c r="AU199"/>
      <c r="AV199"/>
      <c r="AW199"/>
      <c r="AX199"/>
      <c r="AY199"/>
      <c r="AZ199" s="23"/>
      <c r="BA199" s="23"/>
      <c r="BC199" t="s">
        <v>799</v>
      </c>
      <c r="BD199"/>
      <c r="BN199" s="110" t="s">
        <v>977</v>
      </c>
      <c r="BO199"/>
      <c r="BP199"/>
      <c r="BQ199"/>
      <c r="BR199"/>
      <c r="BS199">
        <v>2</v>
      </c>
      <c r="BT199" s="25" t="s">
        <v>978</v>
      </c>
      <c r="BU199"/>
      <c r="BV199" s="24"/>
      <c r="CB199" s="224" t="s">
        <v>967</v>
      </c>
      <c r="CC199" s="320">
        <v>2230</v>
      </c>
      <c r="CD199" s="321">
        <v>2388</v>
      </c>
      <c r="CE199" s="320">
        <v>2864</v>
      </c>
      <c r="CF199" s="321">
        <v>3310</v>
      </c>
      <c r="CG199" s="321">
        <v>3692</v>
      </c>
      <c r="CH199" s="322">
        <v>4074</v>
      </c>
      <c r="CI199" s="2"/>
      <c r="CJ199" s="683">
        <v>1541</v>
      </c>
      <c r="CK199" s="683">
        <v>1731</v>
      </c>
      <c r="CL199" s="683">
        <v>2274</v>
      </c>
      <c r="CM199" s="683">
        <v>3045</v>
      </c>
      <c r="CN199" s="683">
        <v>3465</v>
      </c>
      <c r="CR199" s="110" t="s">
        <v>966</v>
      </c>
      <c r="CS199" s="200">
        <v>404366</v>
      </c>
      <c r="CT199" s="200">
        <v>466230</v>
      </c>
      <c r="CU199" s="200">
        <v>562400</v>
      </c>
      <c r="CV199" s="200">
        <v>719872</v>
      </c>
      <c r="CW199" s="200">
        <v>801982</v>
      </c>
      <c r="CY199" s="110" t="s">
        <v>966</v>
      </c>
      <c r="CZ199" s="200">
        <v>404366</v>
      </c>
      <c r="DA199" s="200">
        <v>466230</v>
      </c>
      <c r="DB199" s="200">
        <v>562400</v>
      </c>
      <c r="DC199" s="200">
        <v>719872</v>
      </c>
      <c r="DD199" s="200">
        <v>801982</v>
      </c>
    </row>
    <row r="200" spans="1:108" s="11" customFormat="1" ht="13" customHeight="1">
      <c r="A200"/>
      <c r="B200"/>
      <c r="C200" s="16"/>
      <c r="D200" s="11" t="s">
        <v>979</v>
      </c>
      <c r="T200" s="1367" t="s">
        <v>694</v>
      </c>
      <c r="U200" s="1367"/>
      <c r="V200"/>
      <c r="W200"/>
      <c r="X200"/>
      <c r="Y200"/>
      <c r="AA200"/>
      <c r="AB200" s="1028" t="s">
        <v>980</v>
      </c>
      <c r="AC200"/>
      <c r="AF200"/>
      <c r="AG200"/>
      <c r="AH200" s="1146"/>
      <c r="AJ200"/>
      <c r="AK200"/>
      <c r="AL200"/>
      <c r="AM200"/>
      <c r="AN200"/>
      <c r="AO200"/>
      <c r="AP200"/>
      <c r="AQ200"/>
      <c r="AR200"/>
      <c r="AS200"/>
      <c r="AU200"/>
      <c r="AV200"/>
      <c r="AW200"/>
      <c r="AX200"/>
      <c r="AY200"/>
      <c r="AZ200" s="23"/>
      <c r="BA200" s="23"/>
      <c r="BC200" s="2" t="s">
        <v>981</v>
      </c>
      <c r="BD200" s="304"/>
      <c r="BN200" s="110" t="s">
        <v>982</v>
      </c>
      <c r="BO200"/>
      <c r="BP200"/>
      <c r="BQ200"/>
      <c r="BR200"/>
      <c r="BS200">
        <v>2</v>
      </c>
      <c r="BT200" s="25" t="s">
        <v>983</v>
      </c>
      <c r="BU200"/>
      <c r="CB200" s="224" t="s">
        <v>971</v>
      </c>
      <c r="CC200" s="320">
        <v>3426</v>
      </c>
      <c r="CD200" s="321">
        <v>3672</v>
      </c>
      <c r="CE200" s="320">
        <v>4406</v>
      </c>
      <c r="CF200" s="321">
        <v>5090</v>
      </c>
      <c r="CG200" s="321">
        <v>5680</v>
      </c>
      <c r="CH200" s="322">
        <v>6266</v>
      </c>
      <c r="CI200" s="2"/>
      <c r="CJ200" s="683">
        <v>2292</v>
      </c>
      <c r="CK200" s="683">
        <v>2818</v>
      </c>
      <c r="CL200" s="683">
        <v>3359</v>
      </c>
      <c r="CM200" s="683">
        <v>4112</v>
      </c>
      <c r="CN200" s="683">
        <v>4473</v>
      </c>
      <c r="CR200" s="110" t="s">
        <v>970</v>
      </c>
      <c r="CS200" s="201">
        <v>532060</v>
      </c>
      <c r="CT200" s="201">
        <v>613460</v>
      </c>
      <c r="CU200" s="202">
        <v>740000</v>
      </c>
      <c r="CV200" s="201">
        <v>947200</v>
      </c>
      <c r="CW200" s="201">
        <v>1055240</v>
      </c>
      <c r="CY200" s="110" t="s">
        <v>970</v>
      </c>
      <c r="CZ200" s="201">
        <v>532060</v>
      </c>
      <c r="DA200" s="201">
        <v>613460</v>
      </c>
      <c r="DB200" s="201">
        <v>740000</v>
      </c>
      <c r="DC200" s="201">
        <v>947200</v>
      </c>
      <c r="DD200" s="201">
        <v>1055240</v>
      </c>
    </row>
    <row r="201" spans="1:108" s="11" customFormat="1" ht="13" customHeight="1">
      <c r="A201"/>
      <c r="B201"/>
      <c r="C201" s="16"/>
      <c r="E201" s="2" t="s">
        <v>984</v>
      </c>
      <c r="V201"/>
      <c r="X201"/>
      <c r="Y201"/>
      <c r="Z201"/>
      <c r="AB201" s="1028" t="s">
        <v>985</v>
      </c>
      <c r="AC201"/>
      <c r="AH201" s="1146"/>
      <c r="AJ201"/>
      <c r="AK201"/>
      <c r="AL201"/>
      <c r="AM201"/>
      <c r="AN201"/>
      <c r="AO201"/>
      <c r="AP201"/>
      <c r="AQ201"/>
      <c r="AR201"/>
      <c r="AS201"/>
      <c r="AU201"/>
      <c r="AV201"/>
      <c r="AW201"/>
      <c r="AX201"/>
      <c r="AY201"/>
      <c r="AZ201" s="23"/>
      <c r="BA201" s="23"/>
      <c r="BC201" s="2" t="s">
        <v>986</v>
      </c>
      <c r="BD201" s="304"/>
      <c r="BN201" s="110" t="s">
        <v>987</v>
      </c>
      <c r="BO201" s="24"/>
      <c r="BP201" s="25"/>
      <c r="BQ201" s="25"/>
      <c r="BR201" s="25"/>
      <c r="BS201">
        <v>6</v>
      </c>
      <c r="BT201" s="25" t="s">
        <v>988</v>
      </c>
      <c r="BU201"/>
      <c r="CB201" s="224" t="s">
        <v>975</v>
      </c>
      <c r="CC201" s="320">
        <v>2846</v>
      </c>
      <c r="CD201" s="321">
        <v>3050</v>
      </c>
      <c r="CE201" s="320">
        <v>3660</v>
      </c>
      <c r="CF201" s="321">
        <v>4228</v>
      </c>
      <c r="CG201" s="321">
        <v>4716</v>
      </c>
      <c r="CH201" s="322">
        <v>5204</v>
      </c>
      <c r="CI201" s="2"/>
      <c r="CJ201" s="683">
        <v>2330</v>
      </c>
      <c r="CK201" s="683">
        <v>2651</v>
      </c>
      <c r="CL201" s="683">
        <v>2994</v>
      </c>
      <c r="CM201" s="683">
        <v>3996</v>
      </c>
      <c r="CN201" s="683">
        <v>4528</v>
      </c>
      <c r="CR201" s="110" t="s">
        <v>974</v>
      </c>
      <c r="CS201" s="200">
        <v>404366</v>
      </c>
      <c r="CT201" s="200">
        <v>466230</v>
      </c>
      <c r="CU201" s="200">
        <v>562400</v>
      </c>
      <c r="CV201" s="200">
        <v>719872</v>
      </c>
      <c r="CW201" s="200">
        <v>801982</v>
      </c>
      <c r="CY201" s="110" t="s">
        <v>974</v>
      </c>
      <c r="CZ201" s="200">
        <v>404366</v>
      </c>
      <c r="DA201" s="200">
        <v>466230</v>
      </c>
      <c r="DB201" s="200">
        <v>562400</v>
      </c>
      <c r="DC201" s="200">
        <v>719872</v>
      </c>
      <c r="DD201" s="200">
        <v>801982</v>
      </c>
    </row>
    <row r="202" spans="1:108" ht="13" customHeight="1">
      <c r="C202" s="16"/>
      <c r="AE202" s="6"/>
      <c r="BC202" t="s">
        <v>989</v>
      </c>
      <c r="BD202" s="304"/>
      <c r="BN202" s="110" t="s">
        <v>990</v>
      </c>
      <c r="BO202" s="11"/>
      <c r="BP202" s="25"/>
      <c r="BQ202" s="25"/>
      <c r="BR202" s="25"/>
      <c r="BS202">
        <v>7</v>
      </c>
      <c r="BT202" s="25" t="s">
        <v>991</v>
      </c>
      <c r="CB202" s="224" t="s">
        <v>978</v>
      </c>
      <c r="CC202" s="320">
        <v>3226</v>
      </c>
      <c r="CD202" s="321">
        <v>3456</v>
      </c>
      <c r="CE202" s="320">
        <v>4146</v>
      </c>
      <c r="CF202" s="321">
        <v>4792</v>
      </c>
      <c r="CG202" s="321">
        <v>5344</v>
      </c>
      <c r="CH202" s="322">
        <v>5898</v>
      </c>
      <c r="CI202" s="2"/>
      <c r="CJ202" s="683">
        <v>2383</v>
      </c>
      <c r="CK202" s="683">
        <v>2694</v>
      </c>
      <c r="CL202" s="683">
        <v>3132</v>
      </c>
      <c r="CM202" s="683">
        <v>4011</v>
      </c>
      <c r="CN202" s="683">
        <v>4425</v>
      </c>
      <c r="CR202" s="110" t="s">
        <v>977</v>
      </c>
      <c r="CS202" s="201">
        <v>532060</v>
      </c>
      <c r="CT202" s="201">
        <v>613460</v>
      </c>
      <c r="CU202" s="201">
        <v>740000</v>
      </c>
      <c r="CV202" s="201">
        <v>947200</v>
      </c>
      <c r="CW202" s="201">
        <v>1055240</v>
      </c>
      <c r="CX202" s="11"/>
      <c r="CY202" s="110" t="s">
        <v>977</v>
      </c>
      <c r="CZ202" s="201">
        <v>532060</v>
      </c>
      <c r="DA202" s="201">
        <v>613460</v>
      </c>
      <c r="DB202" s="201">
        <v>740000</v>
      </c>
      <c r="DC202" s="201">
        <v>947200</v>
      </c>
      <c r="DD202" s="201">
        <v>1055240</v>
      </c>
    </row>
    <row r="203" spans="1:108" ht="13" customHeight="1">
      <c r="A203" s="1" t="s">
        <v>992</v>
      </c>
      <c r="C203" s="1" t="s">
        <v>993</v>
      </c>
      <c r="BC203" t="s">
        <v>994</v>
      </c>
      <c r="BN203" s="110" t="s">
        <v>995</v>
      </c>
      <c r="BO203" s="11"/>
      <c r="BP203" s="25"/>
      <c r="BQ203" s="25"/>
      <c r="BR203" s="25"/>
      <c r="BS203">
        <v>7</v>
      </c>
      <c r="BT203" s="25" t="s">
        <v>996</v>
      </c>
      <c r="CB203" s="224" t="s">
        <v>983</v>
      </c>
      <c r="CC203" s="320">
        <v>3170</v>
      </c>
      <c r="CD203" s="321">
        <v>3396</v>
      </c>
      <c r="CE203" s="320">
        <v>4074</v>
      </c>
      <c r="CF203" s="321">
        <v>4708</v>
      </c>
      <c r="CG203" s="321">
        <v>5252</v>
      </c>
      <c r="CH203" s="322">
        <v>5796</v>
      </c>
      <c r="CI203" s="2"/>
      <c r="CJ203" s="683">
        <v>2849</v>
      </c>
      <c r="CK203" s="683">
        <v>3085</v>
      </c>
      <c r="CL203" s="683">
        <v>4054</v>
      </c>
      <c r="CM203" s="683">
        <v>5000</v>
      </c>
      <c r="CN203" s="683">
        <v>5504</v>
      </c>
      <c r="CR203" s="110" t="s">
        <v>982</v>
      </c>
      <c r="CS203" s="200">
        <v>404366</v>
      </c>
      <c r="CT203" s="200">
        <v>466230</v>
      </c>
      <c r="CU203" s="200">
        <v>562400</v>
      </c>
      <c r="CV203" s="200">
        <v>719872</v>
      </c>
      <c r="CW203" s="200">
        <v>801982</v>
      </c>
      <c r="CX203" s="11"/>
      <c r="CY203" s="110" t="s">
        <v>982</v>
      </c>
      <c r="CZ203" s="200">
        <v>404366</v>
      </c>
      <c r="DA203" s="200">
        <v>466230</v>
      </c>
      <c r="DB203" s="200">
        <v>562400</v>
      </c>
      <c r="DC203" s="200">
        <v>719872</v>
      </c>
      <c r="DD203" s="200">
        <v>801982</v>
      </c>
    </row>
    <row r="204" spans="1:108" ht="13" customHeight="1">
      <c r="D204" s="1435" t="s">
        <v>997</v>
      </c>
      <c r="E204" s="1435"/>
      <c r="F204" s="1435"/>
      <c r="G204" s="1435"/>
      <c r="H204" s="1435"/>
      <c r="I204" s="1435"/>
      <c r="J204" s="1435"/>
      <c r="K204" s="1435"/>
      <c r="L204" s="1435"/>
      <c r="M204" s="1435"/>
      <c r="P204" s="1495">
        <f>M26</f>
        <v>2096053</v>
      </c>
      <c r="Q204" s="1496"/>
      <c r="R204" s="1496"/>
      <c r="S204" s="1496"/>
      <c r="T204" s="1496"/>
      <c r="U204" s="1496"/>
      <c r="BC204" t="s">
        <v>998</v>
      </c>
      <c r="BN204" s="110" t="s">
        <v>999</v>
      </c>
      <c r="BS204">
        <v>6</v>
      </c>
      <c r="BT204" s="25" t="s">
        <v>1000</v>
      </c>
      <c r="BU204" s="11"/>
      <c r="CB204" s="224" t="s">
        <v>988</v>
      </c>
      <c r="CC204" s="320">
        <v>1560</v>
      </c>
      <c r="CD204" s="321">
        <v>1670</v>
      </c>
      <c r="CE204" s="320">
        <v>2004</v>
      </c>
      <c r="CF204" s="321">
        <v>2316</v>
      </c>
      <c r="CG204" s="321">
        <v>2584</v>
      </c>
      <c r="CH204" s="322">
        <v>2852</v>
      </c>
      <c r="CI204" s="2"/>
      <c r="CJ204" s="683">
        <v>1014</v>
      </c>
      <c r="CK204" s="683">
        <v>1132</v>
      </c>
      <c r="CL204" s="683">
        <v>1487</v>
      </c>
      <c r="CM204" s="683">
        <v>2095</v>
      </c>
      <c r="CN204" s="683">
        <v>2523</v>
      </c>
      <c r="CR204" s="110" t="s">
        <v>987</v>
      </c>
      <c r="CS204" s="202">
        <v>319236</v>
      </c>
      <c r="CT204" s="202">
        <v>368076</v>
      </c>
      <c r="CU204" s="202">
        <v>444000</v>
      </c>
      <c r="CV204" s="202">
        <v>568320</v>
      </c>
      <c r="CW204" s="202">
        <v>633144</v>
      </c>
      <c r="CX204" s="11"/>
      <c r="CY204" s="110" t="s">
        <v>987</v>
      </c>
      <c r="CZ204" s="202">
        <v>319236</v>
      </c>
      <c r="DA204" s="202">
        <v>368076</v>
      </c>
      <c r="DB204" s="202">
        <v>444000</v>
      </c>
      <c r="DC204" s="202">
        <v>568320</v>
      </c>
      <c r="DD204" s="202">
        <v>633144</v>
      </c>
    </row>
    <row r="205" spans="1:108" ht="13" customHeight="1">
      <c r="C205" s="16"/>
      <c r="D205" s="1484" t="s">
        <v>1001</v>
      </c>
      <c r="E205" s="1435"/>
      <c r="F205" s="1435"/>
      <c r="G205" s="1435"/>
      <c r="H205" s="1435"/>
      <c r="I205" s="1435"/>
      <c r="J205" s="1435"/>
      <c r="K205" s="1435"/>
      <c r="L205" s="1435"/>
      <c r="M205" s="1435"/>
      <c r="P205" s="1496">
        <f>M27</f>
        <v>0</v>
      </c>
      <c r="Q205" s="1496"/>
      <c r="R205" s="1496"/>
      <c r="S205" s="1496"/>
      <c r="T205" s="1496"/>
      <c r="U205" s="1496"/>
      <c r="V205" s="17"/>
      <c r="W205" s="2" t="s">
        <v>1002</v>
      </c>
      <c r="Z205" s="1481" t="s">
        <v>1003</v>
      </c>
      <c r="AA205" s="1481"/>
      <c r="AB205" s="1481"/>
      <c r="AC205" s="1481"/>
      <c r="AD205" s="1481"/>
      <c r="AE205" s="1481"/>
      <c r="AF205" s="1481"/>
      <c r="AG205" s="1481"/>
      <c r="AH205" s="1481"/>
      <c r="AI205" s="1481"/>
      <c r="AJ205" s="1481"/>
      <c r="AK205" s="1481"/>
      <c r="AL205" s="1481"/>
      <c r="AM205" s="1481"/>
      <c r="AN205" s="1481"/>
      <c r="AP205" s="1357"/>
      <c r="AQ205" s="1357"/>
      <c r="BC205" t="s">
        <v>1004</v>
      </c>
      <c r="BN205" s="110" t="s">
        <v>1005</v>
      </c>
      <c r="BS205">
        <v>4</v>
      </c>
      <c r="BT205" s="25" t="s">
        <v>1006</v>
      </c>
      <c r="BU205" s="11"/>
      <c r="CB205" s="224" t="s">
        <v>991</v>
      </c>
      <c r="CC205" s="320">
        <v>1540</v>
      </c>
      <c r="CD205" s="321">
        <v>1650</v>
      </c>
      <c r="CE205" s="320">
        <v>1980</v>
      </c>
      <c r="CF205" s="321">
        <v>2286</v>
      </c>
      <c r="CG205" s="321">
        <v>2550</v>
      </c>
      <c r="CH205" s="322">
        <v>2812</v>
      </c>
      <c r="CI205" s="2"/>
      <c r="CJ205" s="683">
        <v>911</v>
      </c>
      <c r="CK205" s="683">
        <v>1005</v>
      </c>
      <c r="CL205" s="683">
        <v>1321</v>
      </c>
      <c r="CM205" s="683">
        <v>1862</v>
      </c>
      <c r="CN205" s="683">
        <v>2168</v>
      </c>
      <c r="CR205" s="110" t="s">
        <v>990</v>
      </c>
      <c r="CS205" s="200">
        <v>352022</v>
      </c>
      <c r="CT205" s="200">
        <v>405878</v>
      </c>
      <c r="CU205" s="200">
        <v>489600</v>
      </c>
      <c r="CV205" s="200">
        <v>626688</v>
      </c>
      <c r="CW205" s="200">
        <v>698170</v>
      </c>
      <c r="CX205" s="11"/>
      <c r="CY205" s="110" t="s">
        <v>990</v>
      </c>
      <c r="CZ205" s="200">
        <v>352022</v>
      </c>
      <c r="DA205" s="200">
        <v>405878</v>
      </c>
      <c r="DB205" s="200">
        <v>489600</v>
      </c>
      <c r="DC205" s="200">
        <v>626688</v>
      </c>
      <c r="DD205" s="200">
        <v>698170</v>
      </c>
    </row>
    <row r="206" spans="1:108" ht="13" customHeight="1">
      <c r="D206" s="22"/>
      <c r="E206" s="22"/>
      <c r="F206" s="22"/>
      <c r="G206" s="22"/>
      <c r="H206" s="22"/>
      <c r="I206" s="22"/>
      <c r="J206" s="22"/>
      <c r="K206" s="22"/>
      <c r="L206" s="22"/>
      <c r="M206" s="22"/>
      <c r="N206" s="22"/>
      <c r="O206" s="22"/>
      <c r="P206" s="22"/>
      <c r="BC206" t="s">
        <v>1007</v>
      </c>
      <c r="BN206" s="110" t="s">
        <v>1008</v>
      </c>
      <c r="BS206">
        <v>5</v>
      </c>
      <c r="BT206" s="25" t="s">
        <v>1009</v>
      </c>
      <c r="BU206" s="11"/>
      <c r="CB206" s="224" t="s">
        <v>996</v>
      </c>
      <c r="CC206" s="320">
        <v>1540</v>
      </c>
      <c r="CD206" s="321">
        <v>1650</v>
      </c>
      <c r="CE206" s="320">
        <v>1980</v>
      </c>
      <c r="CF206" s="321">
        <v>2286</v>
      </c>
      <c r="CG206" s="321">
        <v>2550</v>
      </c>
      <c r="CH206" s="322">
        <v>2812</v>
      </c>
      <c r="CI206" s="2"/>
      <c r="CJ206" s="683">
        <v>838</v>
      </c>
      <c r="CK206" s="683">
        <v>843</v>
      </c>
      <c r="CL206" s="683">
        <v>1089</v>
      </c>
      <c r="CM206" s="683">
        <v>1535</v>
      </c>
      <c r="CN206" s="683">
        <v>1620</v>
      </c>
      <c r="CR206" s="110" t="s">
        <v>995</v>
      </c>
      <c r="CS206" s="202">
        <v>352022</v>
      </c>
      <c r="CT206" s="202">
        <v>405878</v>
      </c>
      <c r="CU206" s="202">
        <v>489600</v>
      </c>
      <c r="CV206" s="202">
        <v>626688</v>
      </c>
      <c r="CW206" s="202">
        <v>698170</v>
      </c>
      <c r="CX206" s="11"/>
      <c r="CY206" s="110" t="s">
        <v>995</v>
      </c>
      <c r="CZ206" s="202">
        <v>352022</v>
      </c>
      <c r="DA206" s="202">
        <v>405878</v>
      </c>
      <c r="DB206" s="202">
        <v>489600</v>
      </c>
      <c r="DC206" s="202">
        <v>626688</v>
      </c>
      <c r="DD206" s="202">
        <v>698170</v>
      </c>
    </row>
    <row r="207" spans="1:108" ht="13" customHeight="1">
      <c r="A207" s="1" t="s">
        <v>1010</v>
      </c>
      <c r="C207" s="1" t="s">
        <v>1011</v>
      </c>
      <c r="BC207" s="305" t="s">
        <v>1012</v>
      </c>
      <c r="BN207" s="110" t="s">
        <v>1013</v>
      </c>
      <c r="BS207">
        <v>6</v>
      </c>
      <c r="BT207" s="25" t="s">
        <v>1014</v>
      </c>
      <c r="CB207" s="224" t="s">
        <v>1000</v>
      </c>
      <c r="CC207" s="320">
        <v>2202</v>
      </c>
      <c r="CD207" s="321">
        <v>2360</v>
      </c>
      <c r="CE207" s="320">
        <v>2832</v>
      </c>
      <c r="CF207" s="321">
        <v>3270</v>
      </c>
      <c r="CG207" s="321">
        <v>3650</v>
      </c>
      <c r="CH207" s="322">
        <v>4026</v>
      </c>
      <c r="CI207" s="2"/>
      <c r="CJ207" s="683">
        <v>1652</v>
      </c>
      <c r="CK207" s="683">
        <v>1853</v>
      </c>
      <c r="CL207" s="683">
        <v>2308</v>
      </c>
      <c r="CM207" s="683">
        <v>3199</v>
      </c>
      <c r="CN207" s="683">
        <v>3643</v>
      </c>
      <c r="CR207" s="110" t="s">
        <v>999</v>
      </c>
      <c r="CS207" s="200">
        <v>384234</v>
      </c>
      <c r="CT207" s="200">
        <v>443018</v>
      </c>
      <c r="CU207" s="200">
        <v>534400</v>
      </c>
      <c r="CV207" s="200">
        <v>684032</v>
      </c>
      <c r="CW207" s="200">
        <v>762054</v>
      </c>
      <c r="CX207" s="11"/>
      <c r="CY207" s="110" t="s">
        <v>999</v>
      </c>
      <c r="CZ207" s="200">
        <v>384234</v>
      </c>
      <c r="DA207" s="200">
        <v>443018</v>
      </c>
      <c r="DB207" s="200">
        <v>534400</v>
      </c>
      <c r="DC207" s="200">
        <v>684032</v>
      </c>
      <c r="DD207" s="200">
        <v>762054</v>
      </c>
    </row>
    <row r="208" spans="1:108" ht="13" customHeight="1">
      <c r="C208" s="16"/>
      <c r="D208" s="1472" t="s">
        <v>1015</v>
      </c>
      <c r="E208" s="1472"/>
      <c r="F208" s="1472"/>
      <c r="G208" s="1472"/>
      <c r="H208" s="1472"/>
      <c r="I208" s="1472"/>
      <c r="J208" s="1472"/>
      <c r="K208" s="1472"/>
      <c r="L208" s="1472"/>
      <c r="M208" s="1472"/>
      <c r="BC208" s="2" t="s">
        <v>1016</v>
      </c>
      <c r="BN208" s="110" t="s">
        <v>1017</v>
      </c>
      <c r="BS208">
        <v>7</v>
      </c>
      <c r="BT208" s="25" t="s">
        <v>1018</v>
      </c>
      <c r="CB208" s="224" t="s">
        <v>1006</v>
      </c>
      <c r="CC208" s="320">
        <v>2422</v>
      </c>
      <c r="CD208" s="321">
        <v>2594</v>
      </c>
      <c r="CE208" s="320">
        <v>3112</v>
      </c>
      <c r="CF208" s="321">
        <v>3596</v>
      </c>
      <c r="CG208" s="321">
        <v>4012</v>
      </c>
      <c r="CH208" s="322">
        <v>4426</v>
      </c>
      <c r="CI208" s="2"/>
      <c r="CJ208" s="683">
        <v>1611</v>
      </c>
      <c r="CK208" s="683">
        <v>1809</v>
      </c>
      <c r="CL208" s="683">
        <v>2377</v>
      </c>
      <c r="CM208" s="683">
        <v>3228</v>
      </c>
      <c r="CN208" s="683">
        <v>3425</v>
      </c>
      <c r="CR208" s="110" t="s">
        <v>1005</v>
      </c>
      <c r="CS208" s="202">
        <v>384234</v>
      </c>
      <c r="CT208" s="202">
        <v>443018</v>
      </c>
      <c r="CU208" s="202">
        <v>534400</v>
      </c>
      <c r="CV208" s="202">
        <v>684032</v>
      </c>
      <c r="CW208" s="202">
        <v>762054</v>
      </c>
      <c r="CX208" s="11"/>
      <c r="CY208" s="110" t="s">
        <v>1005</v>
      </c>
      <c r="CZ208" s="202">
        <v>384234</v>
      </c>
      <c r="DA208" s="202">
        <v>443018</v>
      </c>
      <c r="DB208" s="202">
        <v>534400</v>
      </c>
      <c r="DC208" s="202">
        <v>684032</v>
      </c>
      <c r="DD208" s="202">
        <v>762054</v>
      </c>
    </row>
    <row r="209" spans="1:108" ht="13" customHeight="1">
      <c r="BC209" t="s">
        <v>1019</v>
      </c>
      <c r="BN209" s="110" t="s">
        <v>1020</v>
      </c>
      <c r="BS209">
        <v>7</v>
      </c>
      <c r="BT209" s="25" t="s">
        <v>1021</v>
      </c>
      <c r="CB209" s="224" t="s">
        <v>1009</v>
      </c>
      <c r="CC209" s="320">
        <v>1594</v>
      </c>
      <c r="CD209" s="321">
        <v>1708</v>
      </c>
      <c r="CE209" s="320">
        <v>2050</v>
      </c>
      <c r="CF209" s="321">
        <v>2368</v>
      </c>
      <c r="CG209" s="321">
        <v>2642</v>
      </c>
      <c r="CH209" s="322">
        <v>2916</v>
      </c>
      <c r="CI209" s="2"/>
      <c r="CJ209" s="683">
        <v>1143</v>
      </c>
      <c r="CK209" s="683">
        <v>1188</v>
      </c>
      <c r="CL209" s="683">
        <v>1528</v>
      </c>
      <c r="CM209" s="683">
        <v>2153</v>
      </c>
      <c r="CN209" s="683">
        <v>2536</v>
      </c>
      <c r="CR209" s="110" t="s">
        <v>1008</v>
      </c>
      <c r="CS209" s="200">
        <v>307732</v>
      </c>
      <c r="CT209" s="200">
        <v>354812</v>
      </c>
      <c r="CU209" s="200">
        <v>428000</v>
      </c>
      <c r="CV209" s="200">
        <v>547840</v>
      </c>
      <c r="CW209" s="200">
        <v>610328</v>
      </c>
      <c r="CX209" s="11"/>
      <c r="CY209" s="110" t="s">
        <v>1008</v>
      </c>
      <c r="CZ209" s="200">
        <v>307732</v>
      </c>
      <c r="DA209" s="200">
        <v>354812</v>
      </c>
      <c r="DB209" s="200">
        <v>428000</v>
      </c>
      <c r="DC209" s="200">
        <v>547840</v>
      </c>
      <c r="DD209" s="200">
        <v>610328</v>
      </c>
    </row>
    <row r="210" spans="1:108" ht="13" customHeight="1">
      <c r="A210" s="1" t="s">
        <v>1022</v>
      </c>
      <c r="C210" s="1" t="s">
        <v>1023</v>
      </c>
      <c r="BC210" t="s">
        <v>1024</v>
      </c>
      <c r="BN210" s="110" t="s">
        <v>1025</v>
      </c>
      <c r="BS210">
        <v>5</v>
      </c>
      <c r="BT210" s="25" t="s">
        <v>1026</v>
      </c>
      <c r="CB210" s="224" t="s">
        <v>1014</v>
      </c>
      <c r="CC210" s="320">
        <v>1540</v>
      </c>
      <c r="CD210" s="321">
        <v>1650</v>
      </c>
      <c r="CE210" s="320">
        <v>1980</v>
      </c>
      <c r="CF210" s="321">
        <v>2286</v>
      </c>
      <c r="CG210" s="321">
        <v>2550</v>
      </c>
      <c r="CH210" s="322">
        <v>2812</v>
      </c>
      <c r="CI210" s="2"/>
      <c r="CJ210" s="683">
        <v>1125</v>
      </c>
      <c r="CK210" s="683">
        <v>1132</v>
      </c>
      <c r="CL210" s="683">
        <v>1461</v>
      </c>
      <c r="CM210" s="683">
        <v>2059</v>
      </c>
      <c r="CN210" s="683">
        <v>2479</v>
      </c>
      <c r="CR210" s="110" t="s">
        <v>1013</v>
      </c>
      <c r="CS210" s="202">
        <v>331890</v>
      </c>
      <c r="CT210" s="202">
        <v>382666</v>
      </c>
      <c r="CU210" s="202">
        <v>461600</v>
      </c>
      <c r="CV210" s="202">
        <v>590848</v>
      </c>
      <c r="CW210" s="202">
        <v>658242</v>
      </c>
      <c r="CX210" s="11"/>
      <c r="CY210" s="110" t="s">
        <v>1013</v>
      </c>
      <c r="CZ210" s="202">
        <v>331890</v>
      </c>
      <c r="DA210" s="202">
        <v>382666</v>
      </c>
      <c r="DB210" s="202">
        <v>461600</v>
      </c>
      <c r="DC210" s="202">
        <v>590848</v>
      </c>
      <c r="DD210" s="202">
        <v>658242</v>
      </c>
    </row>
    <row r="211" spans="1:108" ht="13" customHeight="1">
      <c r="C211" s="16"/>
      <c r="D211" s="1472" t="s">
        <v>940</v>
      </c>
      <c r="E211" s="1472"/>
      <c r="F211" s="1472"/>
      <c r="G211" s="1472"/>
      <c r="H211" s="1472"/>
      <c r="I211" s="1472"/>
      <c r="J211" s="1472"/>
      <c r="K211" s="1472"/>
      <c r="L211" s="1472"/>
      <c r="M211" s="1472"/>
      <c r="BN211" s="110" t="s">
        <v>1027</v>
      </c>
      <c r="BS211">
        <v>7</v>
      </c>
      <c r="BT211" s="25" t="s">
        <v>1028</v>
      </c>
      <c r="CB211" s="224" t="s">
        <v>1018</v>
      </c>
      <c r="CC211" s="320">
        <v>1540</v>
      </c>
      <c r="CD211" s="321">
        <v>1650</v>
      </c>
      <c r="CE211" s="320">
        <v>1980</v>
      </c>
      <c r="CF211" s="321">
        <v>2286</v>
      </c>
      <c r="CG211" s="321">
        <v>2550</v>
      </c>
      <c r="CH211" s="322">
        <v>2812</v>
      </c>
      <c r="CI211" s="2"/>
      <c r="CJ211" s="683">
        <v>844</v>
      </c>
      <c r="CK211" s="683">
        <v>948</v>
      </c>
      <c r="CL211" s="683">
        <v>1245</v>
      </c>
      <c r="CM211" s="683">
        <v>1695</v>
      </c>
      <c r="CN211" s="683">
        <v>2010</v>
      </c>
      <c r="CR211" s="110" t="s">
        <v>1017</v>
      </c>
      <c r="CS211" s="200">
        <v>352022</v>
      </c>
      <c r="CT211" s="200">
        <v>405878</v>
      </c>
      <c r="CU211" s="200">
        <v>489600</v>
      </c>
      <c r="CV211" s="200">
        <v>626688</v>
      </c>
      <c r="CW211" s="200">
        <v>698170</v>
      </c>
      <c r="CX211" s="11"/>
      <c r="CY211" s="110" t="s">
        <v>1017</v>
      </c>
      <c r="CZ211" s="200">
        <v>352022</v>
      </c>
      <c r="DA211" s="200">
        <v>405878</v>
      </c>
      <c r="DB211" s="200">
        <v>489600</v>
      </c>
      <c r="DC211" s="200">
        <v>626688</v>
      </c>
      <c r="DD211" s="200">
        <v>698170</v>
      </c>
    </row>
    <row r="212" spans="1:108" ht="13" customHeight="1">
      <c r="C212" s="16"/>
      <c r="D212" s="2" t="s">
        <v>1029</v>
      </c>
      <c r="Q212" s="1367"/>
      <c r="R212" s="1367"/>
      <c r="T212" s="1507">
        <f>IFERROR(Q212/AG440,0)</f>
        <v>0</v>
      </c>
      <c r="U212" s="1508"/>
      <c r="BC212" t="s">
        <v>547</v>
      </c>
      <c r="BI212" t="s">
        <v>1003</v>
      </c>
      <c r="BN212" s="110" t="s">
        <v>1030</v>
      </c>
      <c r="BS212">
        <v>4</v>
      </c>
      <c r="BT212" s="25" t="s">
        <v>1031</v>
      </c>
      <c r="CB212" s="224" t="s">
        <v>1021</v>
      </c>
      <c r="CC212" s="320">
        <v>1540</v>
      </c>
      <c r="CD212" s="321">
        <v>1650</v>
      </c>
      <c r="CE212" s="320">
        <v>1980</v>
      </c>
      <c r="CF212" s="321">
        <v>2286</v>
      </c>
      <c r="CG212" s="321">
        <v>2550</v>
      </c>
      <c r="CH212" s="322">
        <v>2812</v>
      </c>
      <c r="CI212" s="2"/>
      <c r="CJ212" s="683">
        <v>710</v>
      </c>
      <c r="CK212" s="683">
        <v>784</v>
      </c>
      <c r="CL212" s="683">
        <v>1030</v>
      </c>
      <c r="CM212" s="683">
        <v>1451</v>
      </c>
      <c r="CN212" s="683">
        <v>1657</v>
      </c>
      <c r="CR212" s="110" t="s">
        <v>1020</v>
      </c>
      <c r="CS212" s="202">
        <v>352022</v>
      </c>
      <c r="CT212" s="202">
        <v>405878</v>
      </c>
      <c r="CU212" s="202">
        <v>489600</v>
      </c>
      <c r="CV212" s="202">
        <v>626688</v>
      </c>
      <c r="CW212" s="202">
        <v>698170</v>
      </c>
      <c r="CX212" s="11"/>
      <c r="CY212" s="110" t="s">
        <v>1020</v>
      </c>
      <c r="CZ212" s="202">
        <v>352022</v>
      </c>
      <c r="DA212" s="202">
        <v>405878</v>
      </c>
      <c r="DB212" s="202">
        <v>489600</v>
      </c>
      <c r="DC212" s="202">
        <v>626688</v>
      </c>
      <c r="DD212" s="202">
        <v>698170</v>
      </c>
    </row>
    <row r="213" spans="1:108" ht="13" customHeight="1">
      <c r="D213" s="928" t="s">
        <v>1032</v>
      </c>
      <c r="BC213" t="s">
        <v>1033</v>
      </c>
      <c r="BI213" s="2" t="s">
        <v>1034</v>
      </c>
      <c r="BN213" s="110" t="s">
        <v>1035</v>
      </c>
      <c r="BS213">
        <v>6</v>
      </c>
      <c r="BT213" s="25" t="s">
        <v>1036</v>
      </c>
      <c r="CB213" s="224" t="s">
        <v>1026</v>
      </c>
      <c r="CC213" s="320">
        <v>1540</v>
      </c>
      <c r="CD213" s="321">
        <v>1650</v>
      </c>
      <c r="CE213" s="320">
        <v>1980</v>
      </c>
      <c r="CF213" s="321">
        <v>2286</v>
      </c>
      <c r="CG213" s="321">
        <v>2550</v>
      </c>
      <c r="CH213" s="322">
        <v>2812</v>
      </c>
      <c r="CI213" s="2"/>
      <c r="CJ213" s="683">
        <v>977</v>
      </c>
      <c r="CK213" s="683">
        <v>989</v>
      </c>
      <c r="CL213" s="683">
        <v>1299</v>
      </c>
      <c r="CM213" s="683">
        <v>1809</v>
      </c>
      <c r="CN213" s="683">
        <v>2065</v>
      </c>
      <c r="CR213" s="110" t="s">
        <v>1025</v>
      </c>
      <c r="CS213" s="200">
        <v>307732</v>
      </c>
      <c r="CT213" s="200">
        <v>354812</v>
      </c>
      <c r="CU213" s="200">
        <v>428000</v>
      </c>
      <c r="CV213" s="200">
        <v>547840</v>
      </c>
      <c r="CW213" s="200">
        <v>610328</v>
      </c>
      <c r="CX213" s="11"/>
      <c r="CY213" s="110" t="s">
        <v>1025</v>
      </c>
      <c r="CZ213" s="200">
        <v>307732</v>
      </c>
      <c r="DA213" s="200">
        <v>354812</v>
      </c>
      <c r="DB213" s="200">
        <v>428000</v>
      </c>
      <c r="DC213" s="200">
        <v>547840</v>
      </c>
      <c r="DD213" s="200">
        <v>610328</v>
      </c>
    </row>
    <row r="214" spans="1:108" ht="13" customHeight="1">
      <c r="D214" s="1491" t="s">
        <v>798</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16"/>
      <c r="AV214" s="16"/>
      <c r="AW214" s="16"/>
      <c r="AX214" s="16"/>
      <c r="AY214" s="16"/>
      <c r="BC214" t="s">
        <v>1037</v>
      </c>
      <c r="BI214" s="2" t="s">
        <v>1038</v>
      </c>
      <c r="BN214" s="110" t="s">
        <v>1039</v>
      </c>
      <c r="BS214">
        <v>6</v>
      </c>
      <c r="BT214" s="25" t="s">
        <v>1040</v>
      </c>
      <c r="CB214" s="224" t="s">
        <v>1028</v>
      </c>
      <c r="CC214" s="320">
        <v>1694</v>
      </c>
      <c r="CD214" s="321">
        <v>1816</v>
      </c>
      <c r="CE214" s="320">
        <v>2180</v>
      </c>
      <c r="CF214" s="321">
        <v>2520</v>
      </c>
      <c r="CG214" s="321">
        <v>2810</v>
      </c>
      <c r="CH214" s="322">
        <v>3100</v>
      </c>
      <c r="CI214" s="2"/>
      <c r="CJ214" s="683">
        <v>919</v>
      </c>
      <c r="CK214" s="683">
        <v>1032</v>
      </c>
      <c r="CL214" s="683">
        <v>1356</v>
      </c>
      <c r="CM214" s="683">
        <v>1795</v>
      </c>
      <c r="CN214" s="683">
        <v>2301</v>
      </c>
      <c r="CR214" s="110" t="s">
        <v>1027</v>
      </c>
      <c r="CS214" s="202">
        <v>352022</v>
      </c>
      <c r="CT214" s="202">
        <v>405878</v>
      </c>
      <c r="CU214" s="202">
        <v>489600</v>
      </c>
      <c r="CV214" s="202">
        <v>626688</v>
      </c>
      <c r="CW214" s="202">
        <v>698170</v>
      </c>
      <c r="CX214" s="11"/>
      <c r="CY214" s="110" t="s">
        <v>1027</v>
      </c>
      <c r="CZ214" s="202">
        <v>352022</v>
      </c>
      <c r="DA214" s="202">
        <v>405878</v>
      </c>
      <c r="DB214" s="202">
        <v>489600</v>
      </c>
      <c r="DC214" s="202">
        <v>626688</v>
      </c>
      <c r="DD214" s="202">
        <v>698170</v>
      </c>
    </row>
    <row r="215" spans="1:108" ht="13" customHeight="1">
      <c r="D215" s="2" t="s">
        <v>1041</v>
      </c>
      <c r="Z215" s="1178"/>
      <c r="AB215" s="1469"/>
      <c r="AC215" s="1469"/>
      <c r="AD215" s="1469"/>
      <c r="AE215" s="1469"/>
      <c r="AF215" s="1469"/>
      <c r="AG215" s="1469"/>
      <c r="AH215" s="1469"/>
      <c r="AI215" s="1469"/>
      <c r="AJ215" s="1469"/>
      <c r="AK215" s="1469"/>
      <c r="AL215" s="1469"/>
      <c r="AM215" s="16"/>
      <c r="AN215" s="16"/>
      <c r="AO215" s="16"/>
      <c r="AP215" s="16"/>
      <c r="AQ215" s="16"/>
      <c r="AR215" s="16"/>
      <c r="AS215" s="16"/>
      <c r="AT215" s="16"/>
      <c r="AU215" s="16"/>
      <c r="AV215" s="16"/>
      <c r="AW215" s="16"/>
      <c r="AX215" s="16"/>
      <c r="AY215" s="16"/>
      <c r="BC215" t="s">
        <v>1042</v>
      </c>
      <c r="BI215" s="2" t="s">
        <v>1043</v>
      </c>
      <c r="CB215" s="224" t="s">
        <v>1031</v>
      </c>
      <c r="CC215" s="323">
        <v>2462</v>
      </c>
      <c r="CD215" s="324">
        <v>2638</v>
      </c>
      <c r="CE215" s="323">
        <v>3166</v>
      </c>
      <c r="CF215" s="324">
        <v>3658</v>
      </c>
      <c r="CG215" s="324">
        <v>4082</v>
      </c>
      <c r="CH215" s="325">
        <v>4502</v>
      </c>
      <c r="CI215" s="2"/>
      <c r="CJ215" s="683">
        <v>1725</v>
      </c>
      <c r="CK215" s="683">
        <v>2011</v>
      </c>
      <c r="CL215" s="683">
        <v>2414</v>
      </c>
      <c r="CM215" s="683">
        <v>3310</v>
      </c>
      <c r="CN215" s="683">
        <v>3867</v>
      </c>
      <c r="CR215" s="110" t="s">
        <v>1030</v>
      </c>
      <c r="CS215" s="200">
        <v>404366</v>
      </c>
      <c r="CT215" s="200">
        <v>466230</v>
      </c>
      <c r="CU215" s="200">
        <v>562400</v>
      </c>
      <c r="CV215" s="200">
        <v>719872</v>
      </c>
      <c r="CW215" s="200">
        <v>801982</v>
      </c>
      <c r="CX215" s="11"/>
      <c r="CY215" s="110" t="s">
        <v>1030</v>
      </c>
      <c r="CZ215" s="200">
        <v>404366</v>
      </c>
      <c r="DA215" s="200">
        <v>466230</v>
      </c>
      <c r="DB215" s="200">
        <v>562400</v>
      </c>
      <c r="DC215" s="200">
        <v>719872</v>
      </c>
      <c r="DD215" s="200">
        <v>801982</v>
      </c>
    </row>
    <row r="216" spans="1:108" ht="13" customHeight="1">
      <c r="D216" s="2" t="s">
        <v>1044</v>
      </c>
      <c r="Z216" s="1178"/>
      <c r="AB216" s="1469"/>
      <c r="AC216" s="1469"/>
      <c r="AD216" s="1469"/>
      <c r="AE216" s="1469"/>
      <c r="AF216" s="1469"/>
      <c r="AG216" s="1469"/>
      <c r="AH216" s="1469"/>
      <c r="AI216" s="1469"/>
      <c r="AJ216" s="1469"/>
      <c r="AK216" s="1469"/>
      <c r="AL216" s="1469"/>
      <c r="AM216" s="16"/>
      <c r="AN216" s="16"/>
      <c r="AO216" s="16"/>
      <c r="AP216" s="16"/>
      <c r="AQ216" s="16"/>
      <c r="AR216" s="16"/>
      <c r="AS216" s="16"/>
      <c r="AT216" s="16"/>
      <c r="AU216" s="16"/>
      <c r="AV216" s="16"/>
      <c r="AW216" s="16"/>
      <c r="AX216" s="16"/>
      <c r="AY216" s="16"/>
      <c r="BC216" t="s">
        <v>1045</v>
      </c>
      <c r="BI216" t="s">
        <v>1046</v>
      </c>
      <c r="CB216" s="224" t="s">
        <v>1036</v>
      </c>
      <c r="CC216" s="326">
        <v>2020</v>
      </c>
      <c r="CD216" s="327">
        <v>2162</v>
      </c>
      <c r="CE216" s="326">
        <v>2594</v>
      </c>
      <c r="CF216" s="327">
        <v>2998</v>
      </c>
      <c r="CG216" s="327">
        <v>3344</v>
      </c>
      <c r="CH216" s="328">
        <v>3690</v>
      </c>
      <c r="CI216" s="2"/>
      <c r="CJ216" s="683">
        <v>1497</v>
      </c>
      <c r="CK216" s="683">
        <v>1507</v>
      </c>
      <c r="CL216" s="683">
        <v>1980</v>
      </c>
      <c r="CM216" s="683">
        <v>2717</v>
      </c>
      <c r="CN216" s="683">
        <v>3169</v>
      </c>
      <c r="CR216" s="110" t="s">
        <v>1035</v>
      </c>
      <c r="CS216" s="202">
        <v>331890</v>
      </c>
      <c r="CT216" s="202">
        <v>382666</v>
      </c>
      <c r="CU216" s="202">
        <v>461600</v>
      </c>
      <c r="CV216" s="202">
        <v>590848</v>
      </c>
      <c r="CW216" s="202">
        <v>658242</v>
      </c>
      <c r="CX216" s="11"/>
      <c r="CY216" s="110" t="s">
        <v>1035</v>
      </c>
      <c r="CZ216" s="202">
        <v>331890</v>
      </c>
      <c r="DA216" s="202">
        <v>382666</v>
      </c>
      <c r="DB216" s="202">
        <v>461600</v>
      </c>
      <c r="DC216" s="202">
        <v>590848</v>
      </c>
      <c r="DD216" s="202">
        <v>658242</v>
      </c>
    </row>
    <row r="217" spans="1:108" ht="13" customHeight="1" thickBot="1">
      <c r="D217" s="2"/>
      <c r="Z217" s="1178"/>
      <c r="AB217" s="16"/>
      <c r="AC217" s="16"/>
      <c r="AD217" s="16"/>
      <c r="AE217" s="16"/>
      <c r="AF217" s="16"/>
      <c r="AG217" s="16"/>
      <c r="AH217" s="16"/>
      <c r="AI217" s="16"/>
      <c r="AJ217" s="16"/>
      <c r="AK217" s="16"/>
      <c r="AL217" s="16"/>
      <c r="AM217" s="16"/>
      <c r="AN217" s="16"/>
      <c r="AO217" s="16"/>
      <c r="AP217" s="16"/>
      <c r="AQ217" s="16"/>
      <c r="AR217" s="16"/>
      <c r="AS217" s="16"/>
      <c r="AT217" s="16"/>
      <c r="BC217" t="s">
        <v>1047</v>
      </c>
      <c r="BI217" t="s">
        <v>1048</v>
      </c>
      <c r="CB217" s="224" t="s">
        <v>1040</v>
      </c>
      <c r="CC217" s="329">
        <v>1540</v>
      </c>
      <c r="CD217" s="330">
        <v>1650</v>
      </c>
      <c r="CE217" s="329">
        <v>1980</v>
      </c>
      <c r="CF217" s="330">
        <v>2286</v>
      </c>
      <c r="CG217" s="330">
        <v>2550</v>
      </c>
      <c r="CH217" s="331">
        <v>2812</v>
      </c>
      <c r="CI217" s="2"/>
      <c r="CJ217" s="683">
        <v>1125</v>
      </c>
      <c r="CK217" s="683">
        <v>1132</v>
      </c>
      <c r="CL217" s="683">
        <v>1461</v>
      </c>
      <c r="CM217" s="683">
        <v>2059</v>
      </c>
      <c r="CN217" s="683">
        <v>2479</v>
      </c>
      <c r="CR217" s="110" t="s">
        <v>1039</v>
      </c>
      <c r="CS217" s="200">
        <v>331890</v>
      </c>
      <c r="CT217" s="200">
        <v>382666</v>
      </c>
      <c r="CU217" s="200">
        <v>461600</v>
      </c>
      <c r="CV217" s="200">
        <v>590848</v>
      </c>
      <c r="CW217" s="200">
        <v>658242</v>
      </c>
      <c r="CX217" s="11"/>
      <c r="CY217" s="110" t="s">
        <v>1039</v>
      </c>
      <c r="CZ217" s="200">
        <v>331890</v>
      </c>
      <c r="DA217" s="200">
        <v>382666</v>
      </c>
      <c r="DB217" s="200">
        <v>461600</v>
      </c>
      <c r="DC217" s="200">
        <v>590848</v>
      </c>
      <c r="DD217" s="200">
        <v>658242</v>
      </c>
    </row>
    <row r="218" spans="1:108" ht="13" customHeight="1">
      <c r="A218" s="1" t="s">
        <v>1049</v>
      </c>
      <c r="C218" s="1" t="s">
        <v>1050</v>
      </c>
      <c r="D218" s="17"/>
      <c r="AC218" s="1" t="s">
        <v>1051</v>
      </c>
      <c r="BC218" t="s">
        <v>1052</v>
      </c>
    </row>
    <row r="219" spans="1:108" ht="13" customHeight="1">
      <c r="A219" s="1"/>
      <c r="C219" s="1"/>
      <c r="D219" s="2" t="s">
        <v>1053</v>
      </c>
      <c r="AZ219" s="2"/>
      <c r="BA219" s="2"/>
      <c r="BC219" t="s">
        <v>1054</v>
      </c>
    </row>
    <row r="220" spans="1:108" ht="13" customHeight="1">
      <c r="A220" s="1"/>
      <c r="C220" s="1"/>
      <c r="D220" s="1472" t="s">
        <v>986</v>
      </c>
      <c r="E220" s="1472"/>
      <c r="F220" s="1472"/>
      <c r="G220" s="1472"/>
      <c r="H220" s="1472"/>
      <c r="I220" s="1472"/>
      <c r="J220" s="1472"/>
      <c r="K220" s="1472"/>
      <c r="L220" s="1472"/>
      <c r="M220" s="1472"/>
      <c r="N220" s="1472"/>
      <c r="O220" s="1472"/>
      <c r="P220" s="1472"/>
      <c r="Q220" s="1472"/>
      <c r="R220" s="1472"/>
      <c r="S220" s="1472"/>
      <c r="T220" s="1472"/>
      <c r="U220" s="1472"/>
      <c r="V220" s="1472"/>
      <c r="W220" s="1472"/>
      <c r="X220" s="1472"/>
      <c r="Y220" s="1472"/>
      <c r="Z220" s="1472"/>
      <c r="AC220" s="1385" t="s">
        <v>801</v>
      </c>
      <c r="AD220" s="1385"/>
      <c r="AE220" s="1385"/>
      <c r="AF220" s="1385"/>
      <c r="AG220" s="1385"/>
      <c r="AH220" s="1385"/>
      <c r="AI220" s="1385"/>
      <c r="AJ220" s="1385"/>
      <c r="AK220" s="1385"/>
      <c r="AL220" s="1385"/>
      <c r="AM220" s="1385"/>
      <c r="AN220" s="1385"/>
      <c r="AO220" s="1385"/>
      <c r="AP220" s="1385"/>
      <c r="AQ220" s="1385"/>
      <c r="BA220" s="2"/>
      <c r="BC220" t="s">
        <v>1055</v>
      </c>
    </row>
    <row r="221" spans="1:108" ht="13" customHeight="1">
      <c r="A221" s="1"/>
      <c r="B221" s="11"/>
      <c r="C221" s="1"/>
      <c r="BA221" s="2"/>
    </row>
    <row r="222" spans="1:108" ht="13" customHeight="1">
      <c r="A222" s="1482" t="s">
        <v>1056</v>
      </c>
      <c r="B222" s="1482"/>
      <c r="C222" s="1482"/>
      <c r="D222" s="1482"/>
      <c r="E222" s="1482"/>
      <c r="F222" s="1482"/>
      <c r="G222" s="1482"/>
      <c r="H222" s="1482"/>
      <c r="I222" s="1482"/>
      <c r="J222" s="1482"/>
      <c r="K222" s="1482"/>
      <c r="L222" s="1482"/>
      <c r="M222" s="1482"/>
      <c r="N222" s="1482"/>
      <c r="O222" s="1482"/>
      <c r="P222" s="1482"/>
      <c r="Q222" s="1482"/>
      <c r="R222" s="1482"/>
      <c r="S222" s="1482"/>
      <c r="T222" s="1482"/>
      <c r="U222" s="1482"/>
      <c r="V222" s="1482"/>
      <c r="W222" s="1482"/>
      <c r="X222" s="1482"/>
      <c r="Y222" s="1482"/>
      <c r="Z222" s="1482"/>
      <c r="AA222" s="1482"/>
      <c r="AB222" s="1482"/>
      <c r="AC222" s="1482"/>
      <c r="AD222" s="1482"/>
      <c r="AE222" s="1482"/>
      <c r="AF222" s="1482"/>
      <c r="AG222" s="1482"/>
      <c r="AH222" s="1482"/>
      <c r="AI222" s="1482"/>
      <c r="AJ222" s="1482"/>
      <c r="AK222" s="1482"/>
      <c r="AL222" s="1482"/>
      <c r="AM222" s="1482"/>
      <c r="AN222" s="1482"/>
      <c r="AO222" s="1482"/>
      <c r="AP222" s="1482"/>
      <c r="AQ222" s="1482"/>
      <c r="AR222" s="1482"/>
      <c r="AS222" s="1482"/>
      <c r="AT222" s="1482"/>
      <c r="AU222" s="54"/>
      <c r="AV222" s="54"/>
      <c r="AW222" s="54"/>
      <c r="AX222" s="54"/>
      <c r="AY222" s="54"/>
      <c r="AZ222" s="2"/>
      <c r="BA222" s="2"/>
      <c r="BP222" s="2"/>
    </row>
    <row r="223" spans="1:108" ht="13" customHeight="1">
      <c r="A223" s="1482"/>
      <c r="B223" s="1482"/>
      <c r="C223" s="1482"/>
      <c r="D223" s="1482"/>
      <c r="E223" s="1482"/>
      <c r="F223" s="1482"/>
      <c r="G223" s="1482"/>
      <c r="H223" s="1482"/>
      <c r="I223" s="1482"/>
      <c r="J223" s="1482"/>
      <c r="K223" s="1482"/>
      <c r="L223" s="1482"/>
      <c r="M223" s="1482"/>
      <c r="N223" s="1482"/>
      <c r="O223" s="1482"/>
      <c r="P223" s="1482"/>
      <c r="Q223" s="1482"/>
      <c r="R223" s="1482"/>
      <c r="S223" s="1482"/>
      <c r="T223" s="1482"/>
      <c r="U223" s="1482"/>
      <c r="V223" s="1482"/>
      <c r="W223" s="1482"/>
      <c r="X223" s="1482"/>
      <c r="Y223" s="1482"/>
      <c r="Z223" s="1482"/>
      <c r="AA223" s="1482"/>
      <c r="AB223" s="1482"/>
      <c r="AC223" s="1482"/>
      <c r="AD223" s="1482"/>
      <c r="AE223" s="1482"/>
      <c r="AF223" s="1482"/>
      <c r="AG223" s="1482"/>
      <c r="AH223" s="1482"/>
      <c r="AI223" s="1482"/>
      <c r="AJ223" s="1482"/>
      <c r="AK223" s="1482"/>
      <c r="AL223" s="1482"/>
      <c r="AM223" s="1482"/>
      <c r="AN223" s="1482"/>
      <c r="AO223" s="1482"/>
      <c r="AP223" s="1482"/>
      <c r="AQ223" s="1482"/>
      <c r="AR223" s="1482"/>
      <c r="AS223" s="1482"/>
      <c r="AT223" s="1482"/>
      <c r="BA223" s="2"/>
      <c r="BB223" s="2"/>
      <c r="BQ223" s="2"/>
    </row>
    <row r="224" spans="1:108" ht="13" customHeight="1">
      <c r="AZ224" s="2"/>
      <c r="BA224" s="2"/>
      <c r="BB224" s="2"/>
      <c r="BQ224" s="2"/>
    </row>
    <row r="225" spans="1:59" ht="13" customHeight="1">
      <c r="A225" s="1" t="s">
        <v>872</v>
      </c>
      <c r="B225" s="1"/>
      <c r="C225" s="1" t="s">
        <v>1057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3" customHeight="1">
      <c r="B226" s="2"/>
      <c r="D226" s="2" t="s">
        <v>1058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67" t="s">
        <v>847</v>
      </c>
      <c r="AJ226" s="1367"/>
      <c r="AL226" s="2"/>
      <c r="AM226" s="2"/>
      <c r="AN226" s="2"/>
      <c r="AO226" s="2"/>
      <c r="AP226" s="2"/>
      <c r="AQ226" s="2"/>
      <c r="AR226" s="2"/>
      <c r="AS226" s="2"/>
      <c r="AT226" s="2"/>
      <c r="AU226" s="2"/>
      <c r="AV226" s="2"/>
      <c r="AW226" s="2"/>
      <c r="AX226" s="2"/>
      <c r="AY226" s="2"/>
      <c r="AZ226" s="2"/>
      <c r="BB226" s="113" t="s">
        <v>1059</v>
      </c>
      <c r="BG226" s="143">
        <f>IF(AND(AND($M$249="for profit",$M$257="for profit",$M$265="nonprofit")),2,0)</f>
        <v>0</v>
      </c>
    </row>
    <row r="227" spans="1:59" ht="13" customHeight="1">
      <c r="B227" s="2"/>
      <c r="D227" s="2" t="s">
        <v>1060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67" t="s">
        <v>798</v>
      </c>
      <c r="AJ227" s="1367"/>
      <c r="AL227" s="2"/>
      <c r="AM227" s="2"/>
      <c r="AN227" s="2"/>
      <c r="AO227" s="2"/>
      <c r="AP227" s="2"/>
      <c r="AQ227" s="2"/>
      <c r="AR227" s="2"/>
      <c r="AS227" s="2"/>
      <c r="AT227" s="2"/>
      <c r="AU227" s="2"/>
      <c r="AV227" s="2"/>
      <c r="AW227" s="2"/>
      <c r="AX227" s="2"/>
      <c r="AY227" s="2"/>
      <c r="BA227" s="2"/>
      <c r="BB227" s="113" t="s">
        <v>1059</v>
      </c>
      <c r="BG227" s="143">
        <f>IF(AND(AND($M$249="for profit",$M$257="nonprofit",$M$265="for profit")),2,0)</f>
        <v>0</v>
      </c>
    </row>
    <row r="228" spans="1:59" ht="13" customHeight="1">
      <c r="B228" s="2"/>
      <c r="D228" s="2" t="s">
        <v>1061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67" t="s">
        <v>798</v>
      </c>
      <c r="AJ228" s="1367"/>
      <c r="AL228" s="2"/>
      <c r="AM228" s="2"/>
      <c r="AN228" s="2"/>
      <c r="AO228" s="2"/>
      <c r="AP228" s="2"/>
      <c r="AQ228" s="2"/>
      <c r="AR228" s="2"/>
      <c r="AS228" s="2"/>
      <c r="AT228" s="2"/>
      <c r="AU228" s="2"/>
      <c r="AV228" s="2"/>
      <c r="AW228" s="2"/>
      <c r="AX228" s="2"/>
      <c r="AY228" s="2"/>
      <c r="AZ228" s="2"/>
      <c r="BA228" s="2"/>
      <c r="BB228" s="113" t="s">
        <v>1059</v>
      </c>
      <c r="BG228" s="143">
        <f>IF(AND(AND($M$249="nonprofit",$M$257="for profit",$M$265="for profit")),2,0)</f>
        <v>0</v>
      </c>
    </row>
    <row r="229" spans="1:59" ht="13" customHeight="1">
      <c r="B229" s="2"/>
      <c r="D229" s="2" t="s">
        <v>1062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67" t="s">
        <v>798</v>
      </c>
      <c r="AJ229" s="1367"/>
      <c r="AL229" s="2"/>
      <c r="AM229" s="2"/>
      <c r="AN229" s="2"/>
      <c r="AO229" s="2"/>
      <c r="AP229" s="2"/>
      <c r="AQ229" s="2"/>
      <c r="AR229" s="2"/>
      <c r="AS229" s="2"/>
      <c r="AT229" s="2"/>
      <c r="AU229" s="2"/>
      <c r="AV229" s="2"/>
      <c r="AW229" s="2"/>
      <c r="AX229" s="2"/>
      <c r="AY229" s="2"/>
      <c r="BA229" s="2"/>
      <c r="BB229" s="113" t="s">
        <v>1059</v>
      </c>
      <c r="BG229" s="143">
        <f>IF(AND(AND($M$249="for profit",$M$257="nonprofit",$M$265="(select one)")),2,0)</f>
        <v>0</v>
      </c>
    </row>
    <row r="230" spans="1:5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3" t="s">
        <v>1059</v>
      </c>
      <c r="BG230" s="142">
        <f>IF(AND(AND($M$249="nonprofit",$M$257="for profit",$M$265="(select one)")),2,0)</f>
        <v>2</v>
      </c>
    </row>
    <row r="231" spans="1:59" ht="13" customHeight="1">
      <c r="A231" s="1" t="s">
        <v>913</v>
      </c>
      <c r="B231" s="2"/>
      <c r="C231" s="1" t="s">
        <v>1063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3"/>
      <c r="BG231" s="113"/>
    </row>
    <row r="232" spans="1:59" ht="13" customHeight="1">
      <c r="D232" s="2" t="s">
        <v>1064</v>
      </c>
      <c r="E232" s="2"/>
      <c r="F232" s="2"/>
      <c r="G232" s="2"/>
      <c r="H232" s="2"/>
      <c r="I232" s="2"/>
      <c r="J232" s="2"/>
      <c r="K232" s="2"/>
      <c r="M232" s="1501" t="str">
        <f>H16</f>
        <v>CRP Baler Place LP</v>
      </c>
      <c r="N232" s="1501"/>
      <c r="O232" s="1501"/>
      <c r="P232" s="1501"/>
      <c r="Q232" s="1501"/>
      <c r="R232" s="1501"/>
      <c r="S232" s="1501"/>
      <c r="T232" s="1501"/>
      <c r="U232" s="1501"/>
      <c r="V232" s="1501"/>
      <c r="W232" s="1501"/>
      <c r="X232" s="1501"/>
      <c r="Y232" s="1501"/>
      <c r="Z232" s="1501"/>
      <c r="AA232" s="1501"/>
      <c r="AB232" s="1501"/>
      <c r="AC232" s="1501"/>
      <c r="AD232" s="1501"/>
      <c r="AE232" s="1501"/>
      <c r="AF232" s="1501"/>
      <c r="AG232" s="1501"/>
      <c r="AH232" s="1501"/>
      <c r="AI232" s="1501"/>
      <c r="AJ232" s="1501"/>
      <c r="AK232" s="1501"/>
      <c r="AZ232" s="2"/>
      <c r="BA232" s="2"/>
      <c r="BB232" s="114" t="s">
        <v>1059</v>
      </c>
      <c r="BG232" s="143">
        <f>IF(AND(AND($M$249="nonprofit",$M$257="nonprofit",$M$265="for profit")),2,0)</f>
        <v>0</v>
      </c>
    </row>
    <row r="233" spans="1:59" ht="13" customHeight="1">
      <c r="D233" s="2" t="s">
        <v>1065</v>
      </c>
      <c r="E233" s="2"/>
      <c r="F233" s="2"/>
      <c r="G233" s="2"/>
      <c r="H233" s="2"/>
      <c r="I233" s="2"/>
      <c r="J233" s="2"/>
      <c r="K233" s="2"/>
      <c r="M233" s="1472" t="s">
        <v>1066</v>
      </c>
      <c r="N233" s="1472"/>
      <c r="O233" s="1472"/>
      <c r="P233" s="1472"/>
      <c r="Q233" s="1472"/>
      <c r="R233" s="1472"/>
      <c r="S233" s="1472"/>
      <c r="T233" s="1472"/>
      <c r="U233" s="1472"/>
      <c r="V233" s="1472"/>
      <c r="W233" s="1472"/>
      <c r="X233" s="1472"/>
      <c r="Y233" s="1472"/>
      <c r="Z233" s="1472"/>
      <c r="AA233" s="1472"/>
      <c r="AB233" s="1472"/>
      <c r="AC233" s="1472"/>
      <c r="AD233" s="1472"/>
      <c r="AE233" s="1472"/>
      <c r="BB233" s="114" t="s">
        <v>1059</v>
      </c>
      <c r="BG233" s="143">
        <f>IF(AND(AND($M$249="nonprofit",$M$257="for profit",$M$265="nonprofit")),2,0)</f>
        <v>0</v>
      </c>
    </row>
    <row r="234" spans="1:59" ht="13" customHeight="1">
      <c r="D234" s="2" t="s">
        <v>932</v>
      </c>
      <c r="E234" s="2"/>
      <c r="M234" s="1472" t="s">
        <v>1067</v>
      </c>
      <c r="N234" s="1472"/>
      <c r="O234" s="1472"/>
      <c r="P234" s="1472"/>
      <c r="Q234" s="1472"/>
      <c r="R234" s="1472"/>
      <c r="S234" s="1472"/>
      <c r="T234" s="1472"/>
      <c r="V234" s="819" t="s">
        <v>1068</v>
      </c>
      <c r="W234" s="1423" t="s">
        <v>1069</v>
      </c>
      <c r="X234" s="1423"/>
      <c r="Y234" s="2" t="s">
        <v>937</v>
      </c>
      <c r="AC234" s="1472">
        <v>10168</v>
      </c>
      <c r="AD234" s="1472"/>
      <c r="AE234" s="1472"/>
      <c r="AU234" s="2"/>
      <c r="AV234" s="2"/>
      <c r="AW234" s="2"/>
      <c r="AX234" s="2"/>
      <c r="AY234" s="2"/>
      <c r="AZ234" s="2"/>
      <c r="BB234" s="114" t="s">
        <v>1059</v>
      </c>
      <c r="BG234" s="142">
        <f>IF(AND(AND($M$249="for profit",$M$257="nonprofit",$M$265="nonprofit")),2,0)</f>
        <v>0</v>
      </c>
    </row>
    <row r="235" spans="1:59" ht="13" customHeight="1">
      <c r="D235" s="2" t="s">
        <v>1070</v>
      </c>
      <c r="E235" s="2"/>
      <c r="F235" s="2"/>
      <c r="G235" s="2"/>
      <c r="H235" s="2"/>
      <c r="I235" s="2"/>
      <c r="J235" s="2"/>
      <c r="K235" s="1039"/>
      <c r="M235" s="1472" t="s">
        <v>1071</v>
      </c>
      <c r="N235" s="1472"/>
      <c r="O235" s="1472"/>
      <c r="P235" s="1472"/>
      <c r="Q235" s="1472"/>
      <c r="R235" s="1472"/>
      <c r="S235" s="1472"/>
      <c r="T235" s="1472"/>
      <c r="U235" s="1472"/>
      <c r="V235" s="1472"/>
      <c r="W235" s="1472"/>
      <c r="X235" s="1472"/>
      <c r="Y235" s="1472"/>
      <c r="Z235" s="1472"/>
      <c r="AA235" s="1472"/>
      <c r="AB235" s="1472"/>
      <c r="AC235" s="1472"/>
      <c r="AD235" s="1472"/>
      <c r="AE235" s="1472"/>
      <c r="AI235" s="2"/>
      <c r="AJ235" s="2"/>
      <c r="AK235" s="2"/>
      <c r="AL235" s="2"/>
      <c r="AM235" s="2"/>
      <c r="AN235" s="2"/>
      <c r="AO235" s="2"/>
      <c r="AP235" s="2"/>
      <c r="AQ235" s="2"/>
      <c r="AR235" s="2"/>
      <c r="AS235" s="2"/>
      <c r="AT235" s="2"/>
      <c r="BB235" s="114"/>
      <c r="BG235" s="113"/>
    </row>
    <row r="236" spans="1:59" ht="13" customHeight="1">
      <c r="D236" s="2" t="s">
        <v>1072</v>
      </c>
      <c r="E236" s="2"/>
      <c r="F236" s="2"/>
      <c r="M236" s="1439" t="s">
        <v>1073</v>
      </c>
      <c r="N236" s="1439"/>
      <c r="O236" s="1439"/>
      <c r="P236" s="1439"/>
      <c r="Q236" s="1439"/>
      <c r="R236" s="1439"/>
      <c r="S236" s="2" t="s">
        <v>1074</v>
      </c>
      <c r="T236" s="2"/>
      <c r="U236" s="1423"/>
      <c r="V236" s="1423"/>
      <c r="W236" s="1423"/>
      <c r="X236" s="2" t="s">
        <v>1075</v>
      </c>
      <c r="Z236" s="1439"/>
      <c r="AA236" s="1439"/>
      <c r="AB236" s="1439"/>
      <c r="AC236" s="1439"/>
      <c r="AD236" s="1439"/>
      <c r="AE236" s="1439"/>
      <c r="AU236" s="2"/>
      <c r="AV236" s="2"/>
      <c r="AW236" s="2"/>
      <c r="AX236" s="2"/>
      <c r="AY236" s="2"/>
      <c r="AZ236" s="2"/>
      <c r="BB236" s="113" t="s">
        <v>1076</v>
      </c>
      <c r="BG236" s="143">
        <f>IF(AND(AND($M$249="nonprofit",$M$257="nonprofit",$M$265="(select one)")),1,0)</f>
        <v>0</v>
      </c>
    </row>
    <row r="237" spans="1:59" ht="13" customHeight="1">
      <c r="D237" s="2" t="s">
        <v>1077</v>
      </c>
      <c r="E237" s="2"/>
      <c r="F237" s="2"/>
      <c r="M237" s="1486" t="s">
        <v>1078</v>
      </c>
      <c r="N237" s="1486"/>
      <c r="O237" s="1486"/>
      <c r="P237" s="1486"/>
      <c r="Q237" s="1486"/>
      <c r="R237" s="1486"/>
      <c r="S237" s="1486"/>
      <c r="T237" s="1486"/>
      <c r="U237" s="1486"/>
      <c r="V237" s="1486"/>
      <c r="W237" s="1486"/>
      <c r="X237" s="1486"/>
      <c r="Y237" s="1486"/>
      <c r="Z237" s="1486"/>
      <c r="AA237" s="1486"/>
      <c r="AB237" s="1486"/>
      <c r="AC237" s="1486"/>
      <c r="AD237" s="1486"/>
      <c r="AE237" s="1486"/>
      <c r="AF237" s="2"/>
      <c r="AG237" s="2"/>
      <c r="AH237" s="2"/>
      <c r="AI237" s="2"/>
      <c r="AJ237" s="2"/>
      <c r="AK237" s="2"/>
      <c r="AL237" s="2"/>
      <c r="AM237" s="2"/>
      <c r="AN237" s="2"/>
      <c r="AO237" s="2"/>
      <c r="AP237" s="2"/>
      <c r="AQ237" s="2"/>
      <c r="AR237" s="2"/>
      <c r="AS237" s="2"/>
      <c r="AT237" s="2"/>
      <c r="AU237" s="2"/>
      <c r="AV237" s="2"/>
      <c r="AW237" s="2"/>
      <c r="AX237" s="2"/>
      <c r="AY237" s="2"/>
      <c r="BB237" s="113" t="s">
        <v>1076</v>
      </c>
      <c r="BG237" s="143">
        <f>IF(AND(AND($M$249="nonprofit",$M$257="nonprofit",$M$265="nonprofit")),1,0)</f>
        <v>0</v>
      </c>
    </row>
    <row r="238" spans="1:59" ht="13" customHeight="1">
      <c r="A238" s="1" t="s">
        <v>992</v>
      </c>
      <c r="C238" s="1" t="s">
        <v>1079</v>
      </c>
      <c r="M238" s="1326" t="s">
        <v>1047</v>
      </c>
      <c r="N238" s="1326"/>
      <c r="O238" s="1326"/>
      <c r="P238" s="1326"/>
      <c r="Q238" s="1326"/>
      <c r="R238" s="1326"/>
      <c r="S238" s="1326"/>
      <c r="T238" s="1326"/>
      <c r="U238" s="113" t="s">
        <v>1080</v>
      </c>
      <c r="V238" s="113"/>
      <c r="W238" s="113"/>
      <c r="X238" s="113"/>
      <c r="Y238" s="113"/>
      <c r="Z238" s="113"/>
      <c r="AA238" s="1505" t="s">
        <v>1081</v>
      </c>
      <c r="AB238" s="1505"/>
      <c r="AC238" s="1505"/>
      <c r="AD238" s="1505"/>
      <c r="AE238" s="1505"/>
      <c r="AF238" s="1505"/>
      <c r="AG238" s="1505"/>
      <c r="AH238" s="1505"/>
      <c r="AI238" s="1505"/>
      <c r="AJ238" s="1505"/>
      <c r="AK238" s="1505"/>
      <c r="AL238" s="2"/>
      <c r="AM238" s="2"/>
      <c r="AN238" s="2"/>
      <c r="AO238" s="2"/>
      <c r="AP238" s="2"/>
      <c r="AQ238" s="2"/>
      <c r="AR238" s="2"/>
      <c r="AS238" s="2"/>
      <c r="AT238" s="2"/>
      <c r="AU238" s="2"/>
      <c r="AV238" s="2"/>
      <c r="AW238" s="2"/>
      <c r="AX238" s="2"/>
      <c r="AY238" s="2"/>
      <c r="BB238" s="113" t="s">
        <v>1076</v>
      </c>
      <c r="BG238" s="143">
        <f>IF(AND(AND($M$249="nonprofit",$M$257="(select one)",$M$265="(select one)")),1,0)</f>
        <v>0</v>
      </c>
    </row>
    <row r="239" spans="1:59" ht="13" customHeight="1">
      <c r="D239" t="s">
        <v>1082</v>
      </c>
      <c r="M239" s="1359"/>
      <c r="N239" s="1359"/>
      <c r="O239" s="1359"/>
      <c r="P239" s="1359"/>
      <c r="Q239" s="1359"/>
      <c r="R239" s="1359"/>
      <c r="S239" s="1359"/>
      <c r="T239" s="1359"/>
      <c r="U239" s="1359"/>
      <c r="V239" s="1359"/>
      <c r="W239" s="1359"/>
      <c r="X239" s="1359"/>
      <c r="Y239" s="1359"/>
      <c r="Z239" s="1359"/>
      <c r="AA239" s="1359"/>
      <c r="AB239" s="1359"/>
      <c r="AC239" s="1359"/>
      <c r="AD239" s="1359"/>
      <c r="AE239" s="1359"/>
      <c r="AF239" s="2"/>
      <c r="AG239" s="2"/>
      <c r="AH239" s="2"/>
      <c r="AI239" s="2"/>
      <c r="AJ239" s="2"/>
      <c r="AK239" s="2"/>
      <c r="AL239" s="2"/>
      <c r="AM239" s="2"/>
      <c r="AN239" s="2"/>
      <c r="AO239" s="2"/>
      <c r="AP239" s="2"/>
      <c r="AQ239" s="2"/>
      <c r="AR239" s="2"/>
      <c r="AS239" s="2"/>
      <c r="AT239" s="2"/>
      <c r="BB239" s="113" t="s">
        <v>1083</v>
      </c>
      <c r="BG239" s="143">
        <f>IF(AND(AND($M$249="for profit",$M$257="for profit",$M$265="(select one)")),3,0)</f>
        <v>0</v>
      </c>
    </row>
    <row r="240" spans="1:59" ht="13" customHeight="1">
      <c r="D240" s="2"/>
      <c r="BB240" s="113" t="s">
        <v>1083</v>
      </c>
      <c r="BG240" s="143">
        <f>IF(AND(AND($M$249="for profit",$M$257="for profit",$M$265="for profit")),3,0)</f>
        <v>0</v>
      </c>
    </row>
    <row r="241" spans="1:67" ht="13" customHeight="1">
      <c r="A241" s="1" t="s">
        <v>1010</v>
      </c>
      <c r="C241" s="1" t="s">
        <v>1084</v>
      </c>
      <c r="D241" s="2"/>
      <c r="L241" s="6"/>
      <c r="M241" s="6"/>
      <c r="N241" s="6"/>
      <c r="AU241" s="2"/>
      <c r="AV241" s="2"/>
      <c r="AW241" s="2"/>
      <c r="AX241" s="2"/>
      <c r="AY241" s="2"/>
      <c r="BB241" s="113" t="s">
        <v>1083</v>
      </c>
      <c r="BG241" s="143">
        <f>IF(AND(AND($M$249="for profit",$M$257="(select one)",$M$265="(select one)")),3,0)</f>
        <v>0</v>
      </c>
    </row>
    <row r="242" spans="1:67" ht="13"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3" customHeight="1">
      <c r="A243" s="1039"/>
      <c r="B243" s="2"/>
      <c r="C243" s="37" t="s">
        <v>1085</v>
      </c>
      <c r="D243" s="2" t="s">
        <v>1086</v>
      </c>
      <c r="E243" s="2"/>
      <c r="F243" s="2"/>
      <c r="G243" s="2"/>
      <c r="H243" s="2"/>
      <c r="I243" s="2"/>
      <c r="J243" s="2"/>
      <c r="K243" s="2"/>
      <c r="L243" s="2"/>
      <c r="M243" s="1488" t="s">
        <v>1087</v>
      </c>
      <c r="N243" s="1488"/>
      <c r="O243" s="1488"/>
      <c r="P243" s="1488"/>
      <c r="Q243" s="1488"/>
      <c r="R243" s="1488"/>
      <c r="S243" s="1488"/>
      <c r="T243" s="1488"/>
      <c r="U243" s="1488"/>
      <c r="V243" s="1488"/>
      <c r="W243" s="1488"/>
      <c r="X243" s="1488"/>
      <c r="Y243" s="1488"/>
      <c r="Z243" s="1488"/>
      <c r="AA243" s="1488"/>
      <c r="AB243" s="1488"/>
      <c r="AC243" s="1488"/>
      <c r="AD243" s="1488"/>
      <c r="AE243" s="1488"/>
      <c r="AF243" s="1488" t="s">
        <v>1088</v>
      </c>
      <c r="AG243" s="1488"/>
      <c r="AH243" s="1488"/>
      <c r="AI243" s="1488"/>
      <c r="AJ243" s="1488"/>
      <c r="AK243" s="1488"/>
      <c r="AU243" s="2"/>
      <c r="AV243" s="2"/>
      <c r="AW243" s="2"/>
      <c r="AX243" s="2"/>
      <c r="AY243" s="2"/>
      <c r="BG243">
        <f>SUM(BG226:BG241)</f>
        <v>2</v>
      </c>
    </row>
    <row r="244" spans="1:67" ht="13" customHeight="1">
      <c r="A244" s="1039"/>
      <c r="B244" s="2"/>
      <c r="C244" s="2"/>
      <c r="D244" s="2" t="s">
        <v>1065</v>
      </c>
      <c r="E244" s="2"/>
      <c r="F244" s="2"/>
      <c r="G244" s="2"/>
      <c r="H244" s="2"/>
      <c r="I244" s="2"/>
      <c r="J244" s="2"/>
      <c r="K244" s="2"/>
      <c r="L244" s="2"/>
      <c r="M244" s="1472" t="s">
        <v>1089</v>
      </c>
      <c r="N244" s="1472"/>
      <c r="O244" s="1472"/>
      <c r="P244" s="1472"/>
      <c r="Q244" s="1472"/>
      <c r="R244" s="1472"/>
      <c r="S244" s="1472"/>
      <c r="T244" s="1472"/>
      <c r="U244" s="1472"/>
      <c r="V244" s="1472"/>
      <c r="W244" s="1472"/>
      <c r="X244" s="1472"/>
      <c r="Y244" s="1472"/>
      <c r="Z244" s="1472"/>
      <c r="AA244" s="1472"/>
      <c r="AB244" s="1472"/>
      <c r="AC244" s="1472"/>
      <c r="AD244" s="1472"/>
      <c r="AE244" s="1472"/>
      <c r="AF244" s="2" t="s">
        <v>1090</v>
      </c>
      <c r="AL244" s="2"/>
      <c r="AM244" s="2"/>
      <c r="AN244" s="2"/>
      <c r="AO244" s="2"/>
      <c r="AP244" s="2"/>
      <c r="AQ244" s="2"/>
      <c r="AR244" s="2"/>
      <c r="AS244" s="2"/>
      <c r="AT244" s="2"/>
      <c r="BB244" t="s">
        <v>547</v>
      </c>
      <c r="BG244">
        <v>1</v>
      </c>
      <c r="BH244" t="s">
        <v>1091</v>
      </c>
    </row>
    <row r="245" spans="1:67" ht="13" customHeight="1">
      <c r="A245" s="1039"/>
      <c r="B245" s="2"/>
      <c r="C245" s="2"/>
      <c r="D245" s="2" t="s">
        <v>932</v>
      </c>
      <c r="E245" s="2"/>
      <c r="M245" s="1472" t="s">
        <v>955</v>
      </c>
      <c r="N245" s="1472"/>
      <c r="O245" s="1472"/>
      <c r="P245" s="1472"/>
      <c r="Q245" s="1472"/>
      <c r="R245" s="1472"/>
      <c r="S245" s="1472"/>
      <c r="T245" s="1472"/>
      <c r="V245" s="819" t="s">
        <v>1068</v>
      </c>
      <c r="W245" s="1423" t="s">
        <v>1092</v>
      </c>
      <c r="X245" s="1423"/>
      <c r="Y245" s="2" t="s">
        <v>937</v>
      </c>
      <c r="AC245" s="1472">
        <v>92127</v>
      </c>
      <c r="AD245" s="1472"/>
      <c r="AE245" s="1472"/>
      <c r="AF245" s="2" t="s">
        <v>1093</v>
      </c>
      <c r="AU245" s="2"/>
      <c r="AV245" s="2"/>
      <c r="AW245" s="2"/>
      <c r="AX245" s="2"/>
      <c r="AY245" s="2"/>
      <c r="BB245" s="2" t="s">
        <v>1094</v>
      </c>
      <c r="BG245">
        <v>2</v>
      </c>
      <c r="BH245" t="s">
        <v>1045</v>
      </c>
      <c r="BO245" s="1040" t="str">
        <f>VLOOKUP(BG243,BG244:BH247,2,FALSE)</f>
        <v>Joint Venture</v>
      </c>
    </row>
    <row r="246" spans="1:67" ht="13" customHeight="1">
      <c r="A246" s="1039"/>
      <c r="B246" s="2"/>
      <c r="C246" s="2"/>
      <c r="D246" s="2" t="s">
        <v>1070</v>
      </c>
      <c r="E246" s="2"/>
      <c r="F246" s="2"/>
      <c r="G246" s="2"/>
      <c r="H246" s="2"/>
      <c r="I246" s="2"/>
      <c r="J246" s="2"/>
      <c r="K246" s="2"/>
      <c r="L246" s="1039"/>
      <c r="M246" s="1472" t="s">
        <v>790</v>
      </c>
      <c r="N246" s="1472"/>
      <c r="O246" s="1472"/>
      <c r="P246" s="1472"/>
      <c r="Q246" s="1472"/>
      <c r="R246" s="1472"/>
      <c r="S246" s="1472"/>
      <c r="T246" s="1472"/>
      <c r="U246" s="1472"/>
      <c r="V246" s="1472"/>
      <c r="W246" s="1472"/>
      <c r="X246" s="1472"/>
      <c r="Y246" s="1472"/>
      <c r="Z246" s="1472"/>
      <c r="AA246" s="1472"/>
      <c r="AB246" s="1472"/>
      <c r="AC246" s="1472"/>
      <c r="AD246" s="1472"/>
      <c r="AE246" s="1472"/>
      <c r="AH246" s="1485">
        <v>4.8999999999999998E-4</v>
      </c>
      <c r="AI246" s="1485"/>
      <c r="AJ246" s="1485"/>
      <c r="AK246" s="1485"/>
      <c r="AL246" s="2"/>
      <c r="AM246" s="2"/>
      <c r="AN246" s="2"/>
      <c r="AO246" s="2"/>
      <c r="AP246" s="2"/>
      <c r="AQ246" s="2"/>
      <c r="AR246" s="2"/>
      <c r="AS246" s="2"/>
      <c r="AT246" s="2"/>
      <c r="BB246" s="2" t="s">
        <v>1095</v>
      </c>
      <c r="BG246">
        <v>3</v>
      </c>
      <c r="BH246" t="s">
        <v>1096</v>
      </c>
      <c r="BN246" s="2"/>
    </row>
    <row r="247" spans="1:67" ht="13" customHeight="1">
      <c r="A247" s="1039"/>
      <c r="B247" s="2"/>
      <c r="C247" s="2"/>
      <c r="D247" s="2" t="s">
        <v>1072</v>
      </c>
      <c r="E247" s="2"/>
      <c r="F247" s="2"/>
      <c r="M247" s="1439" t="s">
        <v>1097</v>
      </c>
      <c r="N247" s="1439"/>
      <c r="O247" s="1439"/>
      <c r="P247" s="1439"/>
      <c r="Q247" s="1439"/>
      <c r="R247" s="1439"/>
      <c r="S247" s="2" t="s">
        <v>1074</v>
      </c>
      <c r="T247" s="2"/>
      <c r="U247" s="1423"/>
      <c r="V247" s="1423"/>
      <c r="W247" s="1423"/>
      <c r="X247" s="2" t="s">
        <v>1075</v>
      </c>
      <c r="Z247" s="1439"/>
      <c r="AA247" s="1439"/>
      <c r="AB247" s="1439"/>
      <c r="AC247" s="1439"/>
      <c r="AD247" s="1439"/>
      <c r="AE247" s="1439"/>
      <c r="AU247" s="2"/>
      <c r="AV247" s="2"/>
      <c r="AW247" s="2"/>
      <c r="AX247" s="2"/>
      <c r="AY247" s="2"/>
      <c r="BG247">
        <v>0</v>
      </c>
      <c r="BH247" s="2" t="str">
        <f>""</f>
        <v/>
      </c>
      <c r="BN247" s="2"/>
    </row>
    <row r="248" spans="1:67" ht="13" customHeight="1">
      <c r="A248" s="1039"/>
      <c r="B248" s="2"/>
      <c r="C248" s="2"/>
      <c r="D248" s="2" t="s">
        <v>1077</v>
      </c>
      <c r="E248" s="2"/>
      <c r="F248" s="2"/>
      <c r="M248" s="1486" t="s">
        <v>1098</v>
      </c>
      <c r="N248" s="1486"/>
      <c r="O248" s="1486"/>
      <c r="P248" s="1486"/>
      <c r="Q248" s="1486"/>
      <c r="R248" s="1486"/>
      <c r="S248" s="1486"/>
      <c r="T248" s="1486"/>
      <c r="U248" s="1486"/>
      <c r="V248" s="1486"/>
      <c r="W248" s="1486"/>
      <c r="X248" s="1486"/>
      <c r="Y248" s="1486"/>
      <c r="Z248" s="1486"/>
      <c r="AA248" s="1486"/>
      <c r="AB248" s="1486"/>
      <c r="AC248" s="1486"/>
      <c r="AD248" s="1486"/>
      <c r="AE248" s="1486"/>
      <c r="AG248" s="2"/>
      <c r="AH248" s="2"/>
      <c r="AI248" s="2"/>
      <c r="AJ248" s="2"/>
      <c r="AK248" s="2"/>
      <c r="AL248" s="2"/>
      <c r="AM248" s="2"/>
      <c r="AN248" s="2"/>
      <c r="AO248" s="2"/>
      <c r="AP248" s="2"/>
      <c r="AQ248" s="2"/>
      <c r="AR248" s="2"/>
      <c r="AS248" s="2"/>
      <c r="AT248" s="2"/>
      <c r="BN248" s="2"/>
    </row>
    <row r="249" spans="1:67" ht="13" customHeight="1">
      <c r="A249" s="1149"/>
      <c r="B249" s="2"/>
      <c r="C249" s="37"/>
      <c r="D249" s="2" t="s">
        <v>1099</v>
      </c>
      <c r="E249" s="2"/>
      <c r="F249" s="2"/>
      <c r="G249" s="2"/>
      <c r="H249" s="2"/>
      <c r="I249" s="2"/>
      <c r="J249" s="2"/>
      <c r="K249" s="2"/>
      <c r="L249" s="2"/>
      <c r="M249" s="1326" t="s">
        <v>1091</v>
      </c>
      <c r="N249" s="1326"/>
      <c r="O249" s="1326"/>
      <c r="P249" s="1326"/>
      <c r="Q249" s="1326"/>
      <c r="R249" s="1326"/>
      <c r="S249" s="1326"/>
      <c r="T249" s="1326"/>
      <c r="U249" s="113" t="s">
        <v>1080</v>
      </c>
      <c r="V249" s="113"/>
      <c r="W249" s="113"/>
      <c r="X249" s="113"/>
      <c r="Y249" s="113"/>
      <c r="Z249" s="113"/>
      <c r="AA249" s="1505" t="s">
        <v>1100</v>
      </c>
      <c r="AB249" s="1505"/>
      <c r="AC249" s="1505"/>
      <c r="AD249" s="1505"/>
      <c r="AE249" s="1505"/>
      <c r="AF249" s="1505"/>
      <c r="AG249" s="1505"/>
      <c r="AH249" s="1505"/>
      <c r="AI249" s="1505"/>
      <c r="AJ249" s="1505"/>
      <c r="AK249" s="1505"/>
      <c r="BN249" s="2"/>
    </row>
    <row r="250" spans="1:67" ht="13" customHeight="1">
      <c r="A250" s="1039"/>
      <c r="B250" s="2"/>
      <c r="C250" s="2"/>
      <c r="D250" s="2"/>
      <c r="E250" s="2"/>
      <c r="F250" s="2"/>
      <c r="G250" s="2"/>
      <c r="H250" s="2"/>
      <c r="I250" s="2"/>
      <c r="J250" s="2"/>
      <c r="K250" s="2"/>
      <c r="L250" s="2"/>
      <c r="AG250" s="2"/>
      <c r="AH250" s="2"/>
      <c r="AI250" s="2"/>
      <c r="AJ250" s="2"/>
      <c r="BN250" s="2"/>
    </row>
    <row r="251" spans="1:67" ht="13" customHeight="1">
      <c r="A251" s="1"/>
      <c r="B251" s="2"/>
      <c r="C251" s="37" t="s">
        <v>1101</v>
      </c>
      <c r="D251" s="2" t="s">
        <v>1102</v>
      </c>
      <c r="E251" s="2"/>
      <c r="F251" s="2"/>
      <c r="G251" s="2"/>
      <c r="H251" s="2"/>
      <c r="I251" s="2"/>
      <c r="J251" s="2"/>
      <c r="K251" s="2"/>
      <c r="L251" s="2"/>
      <c r="M251" s="1488" t="s">
        <v>1103</v>
      </c>
      <c r="N251" s="1488"/>
      <c r="O251" s="1488"/>
      <c r="P251" s="1488"/>
      <c r="Q251" s="1488"/>
      <c r="R251" s="1488"/>
      <c r="S251" s="1488"/>
      <c r="T251" s="1488"/>
      <c r="U251" s="1488"/>
      <c r="V251" s="1488"/>
      <c r="W251" s="1488"/>
      <c r="X251" s="1488"/>
      <c r="Y251" s="1488"/>
      <c r="Z251" s="1488"/>
      <c r="AA251" s="1488"/>
      <c r="AB251" s="1488"/>
      <c r="AC251" s="1488"/>
      <c r="AD251" s="1488"/>
      <c r="AE251" s="1488"/>
      <c r="AF251" s="1488" t="s">
        <v>1104</v>
      </c>
      <c r="AG251" s="1488"/>
      <c r="AH251" s="1488"/>
      <c r="AI251" s="1488"/>
      <c r="AJ251" s="1488"/>
      <c r="AK251" s="1488"/>
      <c r="AU251" s="2"/>
      <c r="AV251" s="2"/>
      <c r="AW251" s="2"/>
      <c r="AX251" s="2"/>
      <c r="AY251" s="2"/>
      <c r="BN251" s="2"/>
    </row>
    <row r="252" spans="1:67" ht="13" customHeight="1">
      <c r="A252" s="1039"/>
      <c r="B252" s="2"/>
      <c r="C252" s="2"/>
      <c r="D252" s="2" t="s">
        <v>1065</v>
      </c>
      <c r="E252" s="2"/>
      <c r="F252" s="2"/>
      <c r="G252" s="2"/>
      <c r="H252" s="2"/>
      <c r="I252" s="2"/>
      <c r="J252" s="2"/>
      <c r="K252" s="2"/>
      <c r="L252" s="2"/>
      <c r="M252" s="1472" t="s">
        <v>1066</v>
      </c>
      <c r="N252" s="1472"/>
      <c r="O252" s="1472"/>
      <c r="P252" s="1472"/>
      <c r="Q252" s="1472"/>
      <c r="R252" s="1472"/>
      <c r="S252" s="1472"/>
      <c r="T252" s="1472"/>
      <c r="U252" s="1472"/>
      <c r="V252" s="1472"/>
      <c r="W252" s="1472"/>
      <c r="X252" s="1472"/>
      <c r="Y252" s="1472"/>
      <c r="Z252" s="1472"/>
      <c r="AA252" s="1472"/>
      <c r="AB252" s="1472"/>
      <c r="AC252" s="1472"/>
      <c r="AD252" s="1472"/>
      <c r="AE252" s="1472"/>
      <c r="AF252" s="2" t="s">
        <v>1090</v>
      </c>
      <c r="AL252" s="2"/>
      <c r="AM252" s="2"/>
      <c r="AN252" s="2"/>
      <c r="AO252" s="2"/>
      <c r="AP252" s="2"/>
      <c r="AQ252" s="2"/>
      <c r="AR252" s="2"/>
      <c r="AS252" s="2"/>
      <c r="AT252" s="2"/>
      <c r="BN252" s="2"/>
    </row>
    <row r="253" spans="1:67" ht="13" customHeight="1">
      <c r="A253" s="1039"/>
      <c r="B253" s="2"/>
      <c r="C253" s="2"/>
      <c r="D253" s="2" t="s">
        <v>932</v>
      </c>
      <c r="E253" s="2"/>
      <c r="M253" s="1472" t="s">
        <v>1067</v>
      </c>
      <c r="N253" s="1472"/>
      <c r="O253" s="1472"/>
      <c r="P253" s="1472"/>
      <c r="Q253" s="1472"/>
      <c r="R253" s="1472"/>
      <c r="S253" s="1472"/>
      <c r="T253" s="1472"/>
      <c r="V253" s="819" t="s">
        <v>1068</v>
      </c>
      <c r="W253" s="1423" t="s">
        <v>1069</v>
      </c>
      <c r="X253" s="1423"/>
      <c r="Y253" s="2" t="s">
        <v>937</v>
      </c>
      <c r="AC253" s="1472">
        <v>10168</v>
      </c>
      <c r="AD253" s="1472"/>
      <c r="AE253" s="1472"/>
      <c r="AF253" s="2" t="s">
        <v>1093</v>
      </c>
      <c r="AU253" s="2"/>
      <c r="AV253" s="2"/>
      <c r="AW253" s="2"/>
      <c r="AX253" s="2"/>
      <c r="AY253" s="2"/>
      <c r="BN253" s="2"/>
    </row>
    <row r="254" spans="1:67" ht="13" customHeight="1">
      <c r="A254" s="1039"/>
      <c r="B254" s="2"/>
      <c r="C254" s="2"/>
      <c r="D254" s="2" t="s">
        <v>1070</v>
      </c>
      <c r="E254" s="2"/>
      <c r="F254" s="2"/>
      <c r="G254" s="2"/>
      <c r="H254" s="2"/>
      <c r="I254" s="2"/>
      <c r="J254" s="2"/>
      <c r="K254" s="2"/>
      <c r="L254" s="1039"/>
      <c r="M254" s="1472" t="s">
        <v>1071</v>
      </c>
      <c r="N254" s="1472"/>
      <c r="O254" s="1472"/>
      <c r="P254" s="1472"/>
      <c r="Q254" s="1472"/>
      <c r="R254" s="1472"/>
      <c r="S254" s="1472"/>
      <c r="T254" s="1472"/>
      <c r="U254" s="1472"/>
      <c r="V254" s="1472"/>
      <c r="W254" s="1472"/>
      <c r="X254" s="1472"/>
      <c r="Y254" s="1472"/>
      <c r="Z254" s="1472"/>
      <c r="AA254" s="1472"/>
      <c r="AB254" s="1472"/>
      <c r="AC254" s="1472"/>
      <c r="AD254" s="1472"/>
      <c r="AE254" s="1472"/>
      <c r="AH254" s="1485">
        <v>5.1000000000000004E-4</v>
      </c>
      <c r="AI254" s="1485"/>
      <c r="AJ254" s="1485"/>
      <c r="AK254" s="1485"/>
      <c r="AL254" s="2"/>
      <c r="AM254" s="2"/>
      <c r="AN254" s="2"/>
      <c r="AO254" s="2"/>
      <c r="AP254" s="2"/>
      <c r="AQ254" s="2"/>
      <c r="AR254" s="2"/>
      <c r="AS254" s="2"/>
      <c r="AT254" s="2"/>
    </row>
    <row r="255" spans="1:67" ht="13" customHeight="1">
      <c r="A255" s="1039"/>
      <c r="B255" s="2"/>
      <c r="C255" s="2"/>
      <c r="D255" s="2" t="s">
        <v>1072</v>
      </c>
      <c r="E255" s="2"/>
      <c r="F255" s="2"/>
      <c r="M255" s="1439" t="s">
        <v>1073</v>
      </c>
      <c r="N255" s="1439"/>
      <c r="O255" s="1439"/>
      <c r="P255" s="1439"/>
      <c r="Q255" s="1439"/>
      <c r="R255" s="1439"/>
      <c r="S255" s="2" t="s">
        <v>1074</v>
      </c>
      <c r="T255" s="2"/>
      <c r="U255" s="1423"/>
      <c r="V255" s="1423"/>
      <c r="W255" s="1423"/>
      <c r="X255" s="2" t="s">
        <v>1075</v>
      </c>
      <c r="Z255" s="1439"/>
      <c r="AA255" s="1439"/>
      <c r="AB255" s="1439"/>
      <c r="AC255" s="1439"/>
      <c r="AD255" s="1439"/>
      <c r="AE255" s="1439"/>
      <c r="AU255" s="2"/>
      <c r="AV255" s="2"/>
      <c r="AW255" s="2"/>
      <c r="AX255" s="2"/>
      <c r="AY255" s="2"/>
      <c r="BN255" s="2"/>
    </row>
    <row r="256" spans="1:67" ht="13" customHeight="1">
      <c r="A256" s="1039"/>
      <c r="B256" s="2"/>
      <c r="C256" s="2"/>
      <c r="D256" s="2" t="s">
        <v>1077</v>
      </c>
      <c r="E256" s="2"/>
      <c r="F256" s="2"/>
      <c r="M256" s="1486" t="s">
        <v>1078</v>
      </c>
      <c r="N256" s="1486"/>
      <c r="O256" s="1486"/>
      <c r="P256" s="1486"/>
      <c r="Q256" s="1486"/>
      <c r="R256" s="1486"/>
      <c r="S256" s="1486"/>
      <c r="T256" s="1486"/>
      <c r="U256" s="1486"/>
      <c r="V256" s="1486"/>
      <c r="W256" s="1486"/>
      <c r="X256" s="1486"/>
      <c r="Y256" s="1486"/>
      <c r="Z256" s="1486"/>
      <c r="AA256" s="1486"/>
      <c r="AB256" s="1486"/>
      <c r="AC256" s="1486"/>
      <c r="AD256" s="1486"/>
      <c r="AE256" s="1486"/>
      <c r="AG256" s="2"/>
      <c r="AH256" s="2"/>
      <c r="AI256" s="2"/>
      <c r="AJ256" s="2"/>
      <c r="AK256" s="2"/>
      <c r="AL256" s="2"/>
      <c r="AM256" s="2"/>
      <c r="AN256" s="2"/>
      <c r="AO256" s="2"/>
      <c r="AP256" s="2"/>
      <c r="AQ256" s="2"/>
      <c r="AR256" s="2"/>
      <c r="AS256" s="2"/>
      <c r="AT256" s="2"/>
      <c r="AU256" s="2"/>
      <c r="AV256" s="2"/>
      <c r="AW256" s="2"/>
      <c r="AX256" s="2"/>
      <c r="AY256" s="2"/>
      <c r="BN256" s="2"/>
    </row>
    <row r="257" spans="1:51" ht="13" customHeight="1">
      <c r="A257" s="1149"/>
      <c r="B257" s="2"/>
      <c r="C257" s="37"/>
      <c r="D257" s="2" t="s">
        <v>1099</v>
      </c>
      <c r="E257" s="2"/>
      <c r="F257" s="2"/>
      <c r="G257" s="2"/>
      <c r="H257" s="2"/>
      <c r="I257" s="2"/>
      <c r="J257" s="2"/>
      <c r="K257" s="2"/>
      <c r="L257" s="2"/>
      <c r="M257" s="1326" t="s">
        <v>1096</v>
      </c>
      <c r="N257" s="1326"/>
      <c r="O257" s="1326"/>
      <c r="P257" s="1326"/>
      <c r="Q257" s="1326"/>
      <c r="R257" s="1326"/>
      <c r="S257" s="1326"/>
      <c r="T257" s="1326"/>
      <c r="U257" s="113" t="s">
        <v>1080</v>
      </c>
      <c r="V257" s="113"/>
      <c r="W257" s="113"/>
      <c r="X257" s="113"/>
      <c r="Y257" s="113"/>
      <c r="Z257" s="113"/>
      <c r="AA257" s="1505"/>
      <c r="AB257" s="1505"/>
      <c r="AC257" s="1505"/>
      <c r="AD257" s="1505"/>
      <c r="AE257" s="1505"/>
      <c r="AF257" s="1505"/>
      <c r="AG257" s="1505"/>
      <c r="AH257" s="1505"/>
      <c r="AI257" s="1505"/>
      <c r="AJ257" s="1505"/>
      <c r="AK257" s="1505"/>
      <c r="AL257" s="2"/>
      <c r="AM257" s="2"/>
      <c r="AN257" s="2"/>
      <c r="AO257" s="2"/>
      <c r="AP257" s="2"/>
      <c r="AQ257" s="2"/>
      <c r="AR257" s="2"/>
      <c r="AS257" s="2"/>
      <c r="AT257" s="2"/>
      <c r="AU257" s="2"/>
      <c r="AV257" s="2"/>
      <c r="AW257" s="2"/>
      <c r="AX257" s="2"/>
      <c r="AY257" s="2"/>
    </row>
    <row r="258" spans="1:51" ht="13" customHeight="1">
      <c r="A258" s="1149"/>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3" customHeight="1">
      <c r="A259" s="1149"/>
      <c r="B259" s="2"/>
      <c r="C259" s="37" t="s">
        <v>1105</v>
      </c>
      <c r="D259" s="2" t="s">
        <v>1086</v>
      </c>
      <c r="E259" s="2"/>
      <c r="F259" s="2"/>
      <c r="G259" s="2"/>
      <c r="H259" s="2"/>
      <c r="I259" s="2"/>
      <c r="J259" s="2"/>
      <c r="K259" s="2"/>
      <c r="L259" s="2"/>
      <c r="M259" s="1488"/>
      <c r="N259" s="1488"/>
      <c r="O259" s="1488"/>
      <c r="P259" s="1488"/>
      <c r="Q259" s="1488"/>
      <c r="R259" s="1488"/>
      <c r="S259" s="1488"/>
      <c r="T259" s="1488"/>
      <c r="U259" s="1488"/>
      <c r="V259" s="1488"/>
      <c r="W259" s="1488"/>
      <c r="X259" s="1488"/>
      <c r="Y259" s="1488"/>
      <c r="Z259" s="1488"/>
      <c r="AA259" s="1488"/>
      <c r="AB259" s="1488"/>
      <c r="AC259" s="1488"/>
      <c r="AD259" s="1488"/>
      <c r="AE259" s="1488"/>
      <c r="AF259" s="1488" t="s">
        <v>547</v>
      </c>
      <c r="AG259" s="1488"/>
      <c r="AH259" s="1488"/>
      <c r="AI259" s="1488"/>
      <c r="AJ259" s="1488"/>
      <c r="AK259" s="1488"/>
      <c r="AL259" s="2"/>
      <c r="AM259" s="2"/>
      <c r="AN259" s="2"/>
      <c r="AO259" s="2"/>
      <c r="AP259" s="2"/>
      <c r="AQ259" s="2"/>
      <c r="AR259" s="2"/>
      <c r="AS259" s="2"/>
      <c r="AT259" s="2"/>
      <c r="AU259" s="2"/>
      <c r="AV259" s="2"/>
      <c r="AW259" s="2"/>
      <c r="AX259" s="2"/>
      <c r="AY259" s="2"/>
    </row>
    <row r="260" spans="1:51" ht="13" customHeight="1">
      <c r="A260" s="1149"/>
      <c r="B260" s="2"/>
      <c r="C260" s="2"/>
      <c r="D260" s="2" t="s">
        <v>1065</v>
      </c>
      <c r="E260" s="2"/>
      <c r="F260" s="2"/>
      <c r="G260" s="2"/>
      <c r="H260" s="2"/>
      <c r="I260" s="2"/>
      <c r="J260" s="2"/>
      <c r="K260" s="2"/>
      <c r="L260" s="2"/>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2" t="s">
        <v>1090</v>
      </c>
      <c r="AL260" s="2"/>
      <c r="AM260" s="2"/>
      <c r="AN260" s="2"/>
      <c r="AO260" s="2"/>
      <c r="AP260" s="2"/>
      <c r="AQ260" s="2"/>
      <c r="AR260" s="2"/>
      <c r="AS260" s="2"/>
      <c r="AT260" s="2"/>
      <c r="AU260" s="2"/>
      <c r="AV260" s="2"/>
      <c r="AW260" s="2"/>
      <c r="AX260" s="2"/>
      <c r="AY260" s="2"/>
    </row>
    <row r="261" spans="1:51" ht="13" customHeight="1">
      <c r="A261" s="1149"/>
      <c r="B261" s="2"/>
      <c r="C261" s="2"/>
      <c r="D261" s="2" t="s">
        <v>932</v>
      </c>
      <c r="E261" s="2"/>
      <c r="M261" s="1472"/>
      <c r="N261" s="1472"/>
      <c r="O261" s="1472"/>
      <c r="P261" s="1472"/>
      <c r="Q261" s="1472"/>
      <c r="R261" s="1472"/>
      <c r="S261" s="1472"/>
      <c r="T261" s="1472"/>
      <c r="V261" s="819" t="s">
        <v>1068</v>
      </c>
      <c r="W261" s="1423"/>
      <c r="X261" s="1423"/>
      <c r="Y261" s="2" t="s">
        <v>937</v>
      </c>
      <c r="AC261" s="1472"/>
      <c r="AD261" s="1472"/>
      <c r="AE261" s="1472"/>
      <c r="AF261" s="2" t="s">
        <v>1093</v>
      </c>
      <c r="AL261" s="2"/>
      <c r="AM261" s="2"/>
      <c r="AN261" s="2"/>
      <c r="AO261" s="2"/>
      <c r="AP261" s="2"/>
      <c r="AQ261" s="2"/>
      <c r="AR261" s="2"/>
      <c r="AS261" s="2"/>
      <c r="AT261" s="2"/>
      <c r="AU261" s="2"/>
      <c r="AV261" s="2"/>
      <c r="AW261" s="2"/>
      <c r="AX261" s="2"/>
      <c r="AY261" s="2"/>
    </row>
    <row r="262" spans="1:51" ht="13" customHeight="1">
      <c r="A262" s="1149"/>
      <c r="B262" s="2"/>
      <c r="C262" s="2"/>
      <c r="D262" s="2" t="s">
        <v>1070</v>
      </c>
      <c r="E262" s="2"/>
      <c r="F262" s="2"/>
      <c r="G262" s="2"/>
      <c r="H262" s="2"/>
      <c r="I262" s="2"/>
      <c r="J262" s="2"/>
      <c r="K262" s="2"/>
      <c r="L262" s="1039"/>
      <c r="M262" s="1472"/>
      <c r="N262" s="1472"/>
      <c r="O262" s="1472"/>
      <c r="P262" s="1472"/>
      <c r="Q262" s="1472"/>
      <c r="R262" s="1472"/>
      <c r="S262" s="1472"/>
      <c r="T262" s="1472"/>
      <c r="U262" s="1472"/>
      <c r="V262" s="1472"/>
      <c r="W262" s="1472"/>
      <c r="X262" s="1472"/>
      <c r="Y262" s="1472"/>
      <c r="Z262" s="1472"/>
      <c r="AA262" s="1472"/>
      <c r="AB262" s="1472"/>
      <c r="AC262" s="1472"/>
      <c r="AD262" s="1472"/>
      <c r="AE262" s="1472"/>
      <c r="AH262" s="1485"/>
      <c r="AI262" s="1485"/>
      <c r="AJ262" s="1485"/>
      <c r="AK262" s="1485"/>
      <c r="AL262" s="2"/>
      <c r="AM262" s="2"/>
      <c r="AN262" s="2"/>
      <c r="AO262" s="2"/>
      <c r="AP262" s="2"/>
      <c r="AQ262" s="2"/>
      <c r="AR262" s="2"/>
      <c r="AS262" s="2"/>
      <c r="AT262" s="2"/>
      <c r="AU262" s="2"/>
      <c r="AV262" s="2"/>
      <c r="AW262" s="2"/>
      <c r="AX262" s="2"/>
      <c r="AY262" s="2"/>
    </row>
    <row r="263" spans="1:51" ht="13" customHeight="1">
      <c r="A263" s="1149"/>
      <c r="B263" s="2"/>
      <c r="C263" s="2"/>
      <c r="D263" s="2" t="s">
        <v>1072</v>
      </c>
      <c r="E263" s="2"/>
      <c r="F263" s="2"/>
      <c r="M263" s="1439"/>
      <c r="N263" s="1439"/>
      <c r="O263" s="1439"/>
      <c r="P263" s="1439"/>
      <c r="Q263" s="1439"/>
      <c r="R263" s="1439"/>
      <c r="S263" s="2" t="s">
        <v>1074</v>
      </c>
      <c r="T263" s="2"/>
      <c r="U263" s="1423"/>
      <c r="V263" s="1423"/>
      <c r="W263" s="1423"/>
      <c r="X263" s="2" t="s">
        <v>1075</v>
      </c>
      <c r="Z263" s="1439"/>
      <c r="AA263" s="1439"/>
      <c r="AB263" s="1439"/>
      <c r="AC263" s="1439"/>
      <c r="AD263" s="1439"/>
      <c r="AE263" s="1439"/>
      <c r="AL263" s="2"/>
      <c r="AM263" s="2"/>
      <c r="AN263" s="2"/>
      <c r="AO263" s="2"/>
      <c r="AP263" s="2"/>
      <c r="AQ263" s="2"/>
      <c r="AR263" s="2"/>
      <c r="AS263" s="2"/>
      <c r="AT263" s="2"/>
      <c r="AU263" s="2"/>
      <c r="AV263" s="2"/>
      <c r="AW263" s="2"/>
      <c r="AX263" s="2"/>
      <c r="AY263" s="2"/>
    </row>
    <row r="264" spans="1:51" ht="13" customHeight="1">
      <c r="A264" s="1149"/>
      <c r="B264" s="2"/>
      <c r="C264" s="2"/>
      <c r="D264" s="2" t="s">
        <v>1077</v>
      </c>
      <c r="E264" s="2"/>
      <c r="F264" s="2"/>
      <c r="M264" s="1486"/>
      <c r="N264" s="1486"/>
      <c r="O264" s="1486"/>
      <c r="P264" s="1486"/>
      <c r="Q264" s="1486"/>
      <c r="R264" s="1486"/>
      <c r="S264" s="1486"/>
      <c r="T264" s="1486"/>
      <c r="U264" s="1486"/>
      <c r="V264" s="1486"/>
      <c r="W264" s="1486"/>
      <c r="X264" s="1486"/>
      <c r="Y264" s="1486"/>
      <c r="Z264" s="1486"/>
      <c r="AA264" s="1487"/>
      <c r="AB264" s="1487"/>
      <c r="AC264" s="1487"/>
      <c r="AD264" s="1487"/>
      <c r="AE264" s="1487"/>
      <c r="AG264" s="2"/>
      <c r="AH264" s="2"/>
      <c r="AI264" s="2"/>
      <c r="AJ264" s="2"/>
      <c r="AK264" s="2"/>
      <c r="AL264" s="2"/>
      <c r="AM264" s="2"/>
      <c r="AN264" s="2"/>
      <c r="AO264" s="2"/>
      <c r="AP264" s="2"/>
      <c r="AQ264" s="2"/>
      <c r="AR264" s="2"/>
      <c r="AS264" s="2"/>
      <c r="AT264" s="2"/>
      <c r="AU264" s="2"/>
      <c r="AV264" s="2"/>
      <c r="AW264" s="2"/>
      <c r="AX264" s="2"/>
      <c r="AY264" s="2"/>
    </row>
    <row r="265" spans="1:51" ht="13" customHeight="1">
      <c r="A265" s="1149"/>
      <c r="B265" s="2"/>
      <c r="C265" s="37"/>
      <c r="D265" s="2" t="s">
        <v>1099</v>
      </c>
      <c r="E265" s="2"/>
      <c r="F265" s="2"/>
      <c r="G265" s="2"/>
      <c r="H265" s="2"/>
      <c r="I265" s="2"/>
      <c r="J265" s="2"/>
      <c r="K265" s="2"/>
      <c r="L265" s="2"/>
      <c r="M265" s="1326" t="s">
        <v>547</v>
      </c>
      <c r="N265" s="1326"/>
      <c r="O265" s="1326"/>
      <c r="P265" s="1326"/>
      <c r="Q265" s="1326"/>
      <c r="R265" s="1326"/>
      <c r="S265" s="1326"/>
      <c r="T265" s="1326"/>
      <c r="U265" s="113" t="s">
        <v>1080</v>
      </c>
      <c r="V265" s="113"/>
      <c r="W265" s="113"/>
      <c r="X265" s="113"/>
      <c r="Y265" s="113"/>
      <c r="Z265" s="113"/>
      <c r="AA265" s="1516"/>
      <c r="AB265" s="1516"/>
      <c r="AC265" s="1516"/>
      <c r="AD265" s="1516"/>
      <c r="AE265" s="1516"/>
      <c r="AF265" s="1516"/>
      <c r="AG265" s="1516"/>
      <c r="AH265" s="1516"/>
      <c r="AI265" s="1516"/>
      <c r="AJ265" s="1516"/>
      <c r="AK265" s="1516"/>
      <c r="AL265" s="2"/>
      <c r="AM265" s="2"/>
      <c r="AN265" s="2"/>
      <c r="AO265" s="2"/>
      <c r="AP265" s="2"/>
      <c r="AQ265" s="2"/>
      <c r="AR265" s="2"/>
      <c r="AS265" s="2"/>
      <c r="AT265" s="2"/>
    </row>
    <row r="266" spans="1:51" ht="13" customHeight="1">
      <c r="A266" s="1039"/>
      <c r="B266" s="2"/>
      <c r="C266" s="2"/>
      <c r="D266" s="2"/>
      <c r="E266" s="2"/>
      <c r="F266" s="2"/>
      <c r="J266" s="94"/>
      <c r="K266" s="68"/>
      <c r="L266" s="68"/>
      <c r="M266" s="68"/>
      <c r="N266" s="68"/>
      <c r="O266" s="68"/>
      <c r="P266" s="68"/>
      <c r="Q266" s="68"/>
      <c r="R266" s="68"/>
      <c r="S266" s="68"/>
      <c r="T266" s="68"/>
      <c r="U266" s="68"/>
      <c r="V266" s="68"/>
      <c r="W266" s="68"/>
      <c r="X266" s="68"/>
      <c r="Y266" s="68"/>
      <c r="AD266" s="32"/>
      <c r="AE266" s="32"/>
    </row>
    <row r="267" spans="1:51" ht="13" customHeight="1">
      <c r="A267" s="38" t="s">
        <v>1022</v>
      </c>
      <c r="B267" s="2"/>
      <c r="C267" s="1" t="s">
        <v>1106</v>
      </c>
      <c r="D267" s="2"/>
      <c r="E267" s="2"/>
      <c r="F267" s="2"/>
      <c r="G267" s="2"/>
      <c r="H267" s="2"/>
      <c r="I267" s="2"/>
      <c r="J267" s="2"/>
      <c r="K267" s="2"/>
      <c r="L267" s="2"/>
      <c r="M267" s="68"/>
      <c r="N267" s="68"/>
      <c r="O267" s="68"/>
      <c r="P267" s="68"/>
      <c r="Q267" s="68"/>
      <c r="T267" s="1484" t="str">
        <f>IFERROR(BO245,"")</f>
        <v>Joint Venture</v>
      </c>
      <c r="U267" s="1484"/>
      <c r="V267" s="1484"/>
      <c r="W267" s="1484"/>
      <c r="X267" s="1484"/>
      <c r="Z267" s="189" t="s">
        <v>1107</v>
      </c>
      <c r="AA267" s="190"/>
      <c r="AB267" s="190"/>
      <c r="AC267" s="190"/>
      <c r="AD267" s="191"/>
      <c r="AE267" s="191"/>
      <c r="AF267" s="191"/>
      <c r="AG267" s="191"/>
      <c r="AH267" s="191"/>
      <c r="AI267" s="191"/>
      <c r="AJ267" s="191"/>
      <c r="AK267" s="191"/>
      <c r="AL267" s="39"/>
    </row>
    <row r="268" spans="1:51" ht="13" customHeight="1">
      <c r="A268" s="1"/>
      <c r="B268" s="2"/>
      <c r="C268" s="1"/>
      <c r="I268" s="2"/>
      <c r="J268" s="2"/>
      <c r="K268" s="2"/>
      <c r="L268" s="2"/>
      <c r="M268" s="68"/>
      <c r="N268" s="68"/>
      <c r="O268" s="68"/>
      <c r="P268" s="68"/>
      <c r="Q268" s="68"/>
      <c r="T268" s="2"/>
      <c r="U268" s="2"/>
      <c r="V268" s="2"/>
      <c r="W268" s="68"/>
      <c r="Z268" s="192" t="s">
        <v>1108</v>
      </c>
      <c r="AF268" s="2"/>
      <c r="AG268" s="2"/>
      <c r="AH268" s="2"/>
      <c r="AI268" s="2"/>
      <c r="AJ268" s="2"/>
      <c r="AL268" s="42"/>
    </row>
    <row r="269" spans="1:51" ht="13" customHeight="1">
      <c r="A269" s="1" t="s">
        <v>1049</v>
      </c>
      <c r="B269" s="2"/>
      <c r="C269" s="1" t="s">
        <v>124</v>
      </c>
      <c r="D269" s="2"/>
      <c r="E269" s="2"/>
      <c r="F269" s="2"/>
      <c r="G269" s="2"/>
      <c r="H269" s="2"/>
      <c r="I269" s="2"/>
      <c r="J269" s="2"/>
      <c r="K269" s="2"/>
      <c r="L269" s="2"/>
      <c r="M269" s="2"/>
      <c r="N269" s="2"/>
      <c r="O269" s="2"/>
      <c r="P269" s="2"/>
      <c r="Q269" s="2"/>
      <c r="R269" s="2"/>
      <c r="S269" s="2"/>
      <c r="T269" s="2"/>
      <c r="U269" s="2"/>
      <c r="V269" s="2"/>
      <c r="W269" s="2"/>
      <c r="Z269" s="193" t="s">
        <v>1109</v>
      </c>
      <c r="AA269" s="32"/>
      <c r="AB269" s="32"/>
      <c r="AC269" s="32"/>
      <c r="AD269" s="32"/>
      <c r="AE269" s="32"/>
      <c r="AF269" s="708"/>
      <c r="AG269" s="708"/>
      <c r="AH269" s="708"/>
      <c r="AI269" s="708"/>
      <c r="AJ269" s="708"/>
      <c r="AK269" s="32"/>
      <c r="AL269" s="33"/>
    </row>
    <row r="270" spans="1:51" ht="13" customHeight="1">
      <c r="A270" s="2"/>
      <c r="B270" s="26">
        <v>0</v>
      </c>
      <c r="D270" s="1472" t="s">
        <v>1094</v>
      </c>
      <c r="E270" s="1472"/>
      <c r="F270" s="1472"/>
      <c r="G270" s="1472"/>
      <c r="H270" s="1472"/>
      <c r="J270" t="s">
        <v>1110</v>
      </c>
      <c r="X270" s="1457"/>
      <c r="Y270" s="1457"/>
      <c r="Z270" s="1457"/>
      <c r="AA270" s="1457"/>
      <c r="AB270" s="1457"/>
      <c r="AC270" s="1457"/>
      <c r="AU270" s="2"/>
      <c r="AV270" s="2"/>
      <c r="AW270" s="2"/>
      <c r="AX270" s="2"/>
      <c r="AY270" s="2"/>
    </row>
    <row r="271" spans="1:51" ht="13" customHeight="1">
      <c r="A271" s="2"/>
      <c r="B271" s="1039"/>
      <c r="D271" s="27" t="s">
        <v>1111</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51"/>
      <c r="AA272" s="1151"/>
      <c r="AB272" s="1151"/>
      <c r="AC272" s="1151"/>
      <c r="AD272" s="1151"/>
      <c r="AE272" s="2"/>
      <c r="AK272" s="2"/>
      <c r="AL272" s="2"/>
      <c r="AM272" s="2"/>
      <c r="AN272" s="2"/>
      <c r="AO272" s="2"/>
      <c r="AP272" s="2"/>
      <c r="AQ272" s="2"/>
      <c r="AR272" s="2"/>
      <c r="AS272" s="2"/>
      <c r="AT272" s="2"/>
    </row>
    <row r="273" spans="1:51" ht="13" customHeight="1">
      <c r="A273" s="1" t="s">
        <v>1112</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3" customHeight="1">
      <c r="D274" s="2" t="s">
        <v>1113</v>
      </c>
      <c r="E274" s="2"/>
      <c r="F274" s="2"/>
      <c r="G274" s="2"/>
      <c r="H274" s="2"/>
      <c r="I274" s="2"/>
      <c r="J274" s="2"/>
      <c r="K274" s="2"/>
      <c r="L274" s="1488" t="s">
        <v>1081</v>
      </c>
      <c r="M274" s="1488"/>
      <c r="N274" s="1488"/>
      <c r="O274" s="1488"/>
      <c r="P274" s="1488"/>
      <c r="Q274" s="1488"/>
      <c r="R274" s="1488"/>
      <c r="S274" s="1488"/>
      <c r="T274" s="1488"/>
      <c r="U274" s="1488"/>
      <c r="V274" s="1488"/>
      <c r="W274" s="1488"/>
      <c r="X274" s="1488"/>
      <c r="Y274" s="1488"/>
      <c r="Z274" s="1488"/>
      <c r="AA274" s="1488"/>
      <c r="AB274" s="1488"/>
      <c r="AC274" s="1488"/>
      <c r="AD274" s="1488"/>
      <c r="AE274" s="1488"/>
      <c r="AF274" s="1488"/>
      <c r="AG274" s="1488"/>
      <c r="AH274" s="1488"/>
      <c r="AI274" s="1488"/>
      <c r="AJ274" s="1488"/>
      <c r="AK274" s="2"/>
      <c r="AL274" s="2"/>
      <c r="AM274" s="2"/>
      <c r="AN274" s="2"/>
      <c r="AO274" s="2"/>
      <c r="AP274" s="2"/>
      <c r="AQ274" s="2"/>
      <c r="AR274" s="2"/>
      <c r="AS274" s="2"/>
      <c r="AT274" s="2"/>
      <c r="AU274" s="2"/>
      <c r="AV274" s="2"/>
      <c r="AW274" s="2"/>
      <c r="AX274" s="2"/>
      <c r="AY274" s="2"/>
    </row>
    <row r="275" spans="1:51" ht="13" customHeight="1">
      <c r="D275" s="2" t="s">
        <v>1065</v>
      </c>
      <c r="E275" s="2"/>
      <c r="F275" s="2"/>
      <c r="G275" s="2"/>
      <c r="H275" s="2"/>
      <c r="I275" s="2"/>
      <c r="J275" s="2"/>
      <c r="K275" s="2"/>
      <c r="L275" s="1472" t="s">
        <v>1114</v>
      </c>
      <c r="M275" s="1472"/>
      <c r="N275" s="1472"/>
      <c r="O275" s="1472"/>
      <c r="P275" s="1472"/>
      <c r="Q275" s="1472"/>
      <c r="R275" s="1472"/>
      <c r="S275" s="1472"/>
      <c r="T275" s="1472"/>
      <c r="U275" s="1472"/>
      <c r="V275" s="1472"/>
      <c r="W275" s="1472"/>
      <c r="X275" s="1472"/>
      <c r="Y275" s="1472"/>
      <c r="Z275" s="1472"/>
      <c r="AA275" s="1472"/>
      <c r="AB275" s="1472"/>
      <c r="AC275" s="1472"/>
      <c r="AD275" s="1472"/>
      <c r="AK275" s="2"/>
      <c r="AL275" s="2"/>
      <c r="AM275" s="2"/>
      <c r="AN275" s="2"/>
      <c r="AO275" s="2"/>
      <c r="AP275" s="2"/>
      <c r="AQ275" s="2"/>
      <c r="AR275" s="2"/>
      <c r="AS275" s="2"/>
      <c r="AT275" s="2"/>
      <c r="AU275" s="2"/>
      <c r="AV275" s="2"/>
      <c r="AW275" s="2"/>
      <c r="AX275" s="2"/>
      <c r="AY275" s="2"/>
    </row>
    <row r="276" spans="1:51" ht="13" customHeight="1">
      <c r="D276" s="2" t="s">
        <v>932</v>
      </c>
      <c r="E276" s="2"/>
      <c r="L276" s="1472" t="s">
        <v>1067</v>
      </c>
      <c r="M276" s="1472"/>
      <c r="N276" s="1472"/>
      <c r="O276" s="1472"/>
      <c r="P276" s="1472"/>
      <c r="Q276" s="1472"/>
      <c r="R276" s="1472"/>
      <c r="S276" s="1472"/>
      <c r="U276" s="819" t="s">
        <v>1068</v>
      </c>
      <c r="V276" s="1423" t="s">
        <v>1069</v>
      </c>
      <c r="W276" s="1423"/>
      <c r="X276" s="2" t="s">
        <v>937</v>
      </c>
      <c r="AB276" s="1472">
        <v>10168</v>
      </c>
      <c r="AC276" s="1472"/>
      <c r="AD276" s="1472"/>
      <c r="AK276" s="2"/>
      <c r="AL276" s="2"/>
      <c r="AM276" s="2"/>
      <c r="AN276" s="2"/>
      <c r="AO276" s="2"/>
      <c r="AP276" s="2"/>
      <c r="AQ276" s="2"/>
      <c r="AR276" s="2"/>
      <c r="AS276" s="2"/>
      <c r="AT276" s="2"/>
      <c r="AU276" s="2"/>
      <c r="AV276" s="2"/>
      <c r="AW276" s="2"/>
      <c r="AX276" s="2"/>
      <c r="AY276" s="2"/>
    </row>
    <row r="277" spans="1:51" ht="13" customHeight="1">
      <c r="D277" s="2" t="s">
        <v>1070</v>
      </c>
      <c r="E277" s="2"/>
      <c r="F277" s="2"/>
      <c r="G277" s="2"/>
      <c r="H277" s="2"/>
      <c r="I277" s="2"/>
      <c r="J277" s="2"/>
      <c r="K277" s="1039"/>
      <c r="L277" s="1472" t="s">
        <v>1115</v>
      </c>
      <c r="M277" s="1472"/>
      <c r="N277" s="1472"/>
      <c r="O277" s="1472"/>
      <c r="P277" s="1472"/>
      <c r="Q277" s="1472"/>
      <c r="R277" s="1472"/>
      <c r="S277" s="1472"/>
      <c r="T277" s="1472"/>
      <c r="U277" s="1472"/>
      <c r="V277" s="1472"/>
      <c r="W277" s="1472"/>
      <c r="X277" s="1472"/>
      <c r="Y277" s="1472"/>
      <c r="Z277" s="1472"/>
      <c r="AA277" s="1472"/>
      <c r="AB277" s="1472"/>
      <c r="AC277" s="1472"/>
      <c r="AD277" s="1472"/>
      <c r="AI277" s="2"/>
      <c r="AJ277" s="2"/>
      <c r="AK277" s="2"/>
      <c r="AL277" s="2"/>
      <c r="AM277" s="2"/>
      <c r="AN277" s="2"/>
      <c r="AO277" s="2"/>
      <c r="AP277" s="2"/>
      <c r="AQ277" s="2"/>
      <c r="AR277" s="2"/>
      <c r="AS277" s="2"/>
      <c r="AT277" s="2"/>
    </row>
    <row r="278" spans="1:51" ht="13" customHeight="1">
      <c r="D278" s="2" t="s">
        <v>1072</v>
      </c>
      <c r="E278" s="2"/>
      <c r="F278" s="2"/>
      <c r="L278" s="1439">
        <v>6465187280</v>
      </c>
      <c r="M278" s="1439"/>
      <c r="N278" s="1439"/>
      <c r="O278" s="1439"/>
      <c r="P278" s="1439"/>
      <c r="Q278" s="1439"/>
      <c r="R278" s="2" t="s">
        <v>1074</v>
      </c>
      <c r="S278" s="2"/>
      <c r="T278" s="1423"/>
      <c r="U278" s="1423"/>
      <c r="V278" s="1423"/>
      <c r="W278" s="2" t="s">
        <v>1075</v>
      </c>
      <c r="Y278" s="1439"/>
      <c r="Z278" s="1439"/>
      <c r="AA278" s="1439"/>
      <c r="AB278" s="1439"/>
      <c r="AC278" s="1439"/>
      <c r="AD278" s="1439"/>
    </row>
    <row r="279" spans="1:51" ht="13" customHeight="1">
      <c r="D279" s="2" t="s">
        <v>1077</v>
      </c>
      <c r="E279" s="2"/>
      <c r="F279" s="2"/>
      <c r="L279" s="1486" t="s">
        <v>1116</v>
      </c>
      <c r="M279" s="1486"/>
      <c r="N279" s="1486"/>
      <c r="O279" s="1486"/>
      <c r="P279" s="1486"/>
      <c r="Q279" s="1486"/>
      <c r="R279" s="1486"/>
      <c r="S279" s="1486"/>
      <c r="T279" s="1486"/>
      <c r="U279" s="1486"/>
      <c r="V279" s="1486"/>
      <c r="W279" s="1486"/>
      <c r="X279" s="1486"/>
      <c r="Y279" s="1486"/>
      <c r="Z279" s="1486"/>
      <c r="AA279" s="1486"/>
      <c r="AB279" s="1486"/>
      <c r="AC279" s="1486"/>
      <c r="AD279" s="1486"/>
      <c r="AF279" s="2"/>
      <c r="AG279" s="2"/>
      <c r="AH279" s="2"/>
      <c r="AI279" s="2"/>
      <c r="AJ279" s="2"/>
      <c r="AU279" s="2"/>
      <c r="AV279" s="2"/>
      <c r="AW279" s="2"/>
      <c r="AX279" s="2"/>
      <c r="AY279" s="2"/>
    </row>
    <row r="280" spans="1:51" ht="13" customHeight="1">
      <c r="D280" s="2" t="s">
        <v>1117</v>
      </c>
      <c r="E280" s="2"/>
      <c r="F280" s="2"/>
      <c r="G280" s="2"/>
      <c r="H280" s="2"/>
      <c r="I280" s="2"/>
      <c r="L280" s="1423" t="s">
        <v>1118</v>
      </c>
      <c r="M280" s="1423"/>
      <c r="N280" s="1423"/>
      <c r="O280" s="1423"/>
      <c r="P280" s="1423"/>
      <c r="Q280" s="1423"/>
      <c r="R280" s="1423"/>
      <c r="S280" s="1423"/>
      <c r="T280" s="1423"/>
      <c r="U280" s="1423"/>
      <c r="V280" s="1423"/>
      <c r="W280" s="1423"/>
      <c r="X280" s="1423"/>
      <c r="Y280" s="1423"/>
      <c r="Z280" s="1423"/>
      <c r="AA280" s="1423"/>
      <c r="AB280" s="1423"/>
      <c r="AC280" s="1423"/>
      <c r="AD280" s="1423"/>
      <c r="AK280" s="2"/>
      <c r="AL280" s="2"/>
      <c r="AM280" s="2"/>
      <c r="AN280" s="2"/>
      <c r="AO280" s="2"/>
      <c r="AP280" s="2"/>
      <c r="AQ280" s="2"/>
      <c r="AR280" s="2"/>
      <c r="AS280" s="2"/>
      <c r="AT280" s="2"/>
    </row>
    <row r="281" spans="1:51" ht="13" customHeight="1">
      <c r="L281" s="17" t="s">
        <v>1119</v>
      </c>
      <c r="AU281" s="54"/>
      <c r="AV281" s="54"/>
      <c r="AW281" s="54"/>
      <c r="AX281" s="54"/>
      <c r="AY281" s="54"/>
    </row>
    <row r="282" spans="1:51" ht="13" customHeight="1">
      <c r="A282" s="1482" t="s">
        <v>1120</v>
      </c>
      <c r="B282" s="1482"/>
      <c r="C282" s="1482"/>
      <c r="D282" s="1482"/>
      <c r="E282" s="1482"/>
      <c r="F282" s="1482"/>
      <c r="G282" s="1482"/>
      <c r="H282" s="1482"/>
      <c r="I282" s="1482"/>
      <c r="J282" s="1482"/>
      <c r="K282" s="1482"/>
      <c r="L282" s="1482"/>
      <c r="M282" s="1482"/>
      <c r="N282" s="1482"/>
      <c r="O282" s="1482"/>
      <c r="P282" s="1482"/>
      <c r="Q282" s="1482"/>
      <c r="R282" s="1482"/>
      <c r="S282" s="1482"/>
      <c r="T282" s="1482"/>
      <c r="U282" s="1482"/>
      <c r="V282" s="1482"/>
      <c r="W282" s="1482"/>
      <c r="X282" s="1482"/>
      <c r="Y282" s="1482"/>
      <c r="Z282" s="1482"/>
      <c r="AA282" s="1482"/>
      <c r="AB282" s="1482"/>
      <c r="AC282" s="1482"/>
      <c r="AD282" s="1482"/>
      <c r="AE282" s="1482"/>
      <c r="AF282" s="1482"/>
      <c r="AG282" s="1482"/>
      <c r="AH282" s="1482"/>
      <c r="AI282" s="1482"/>
      <c r="AJ282" s="1482"/>
      <c r="AK282" s="1482"/>
      <c r="AL282" s="1482"/>
      <c r="AM282" s="1482"/>
      <c r="AN282" s="1482"/>
      <c r="AO282" s="1482"/>
      <c r="AP282" s="1482"/>
      <c r="AQ282" s="1482"/>
      <c r="AR282" s="1482"/>
      <c r="AS282" s="1482"/>
      <c r="AT282" s="1482"/>
      <c r="AU282" s="54"/>
      <c r="AV282" s="54"/>
      <c r="AW282" s="54"/>
      <c r="AX282" s="54"/>
      <c r="AY282" s="54"/>
    </row>
    <row r="283" spans="1:51" ht="13" customHeight="1">
      <c r="A283" s="1482"/>
      <c r="B283" s="1482"/>
      <c r="C283" s="1482"/>
      <c r="D283" s="1482"/>
      <c r="E283" s="1482"/>
      <c r="F283" s="1482"/>
      <c r="G283" s="1482"/>
      <c r="H283" s="1482"/>
      <c r="I283" s="1482"/>
      <c r="J283" s="1482"/>
      <c r="K283" s="1482"/>
      <c r="L283" s="1482"/>
      <c r="M283" s="1482"/>
      <c r="N283" s="1482"/>
      <c r="O283" s="1482"/>
      <c r="P283" s="1482"/>
      <c r="Q283" s="1482"/>
      <c r="R283" s="1482"/>
      <c r="S283" s="1482"/>
      <c r="T283" s="1482"/>
      <c r="U283" s="1482"/>
      <c r="V283" s="1482"/>
      <c r="W283" s="1482"/>
      <c r="X283" s="1482"/>
      <c r="Y283" s="1482"/>
      <c r="Z283" s="1482"/>
      <c r="AA283" s="1482"/>
      <c r="AB283" s="1482"/>
      <c r="AC283" s="1482"/>
      <c r="AD283" s="1482"/>
      <c r="AE283" s="1482"/>
      <c r="AF283" s="1482"/>
      <c r="AG283" s="1482"/>
      <c r="AH283" s="1482"/>
      <c r="AI283" s="1482"/>
      <c r="AJ283" s="1482"/>
      <c r="AK283" s="1482"/>
      <c r="AL283" s="1482"/>
      <c r="AM283" s="1482"/>
      <c r="AN283" s="1482"/>
      <c r="AO283" s="1482"/>
      <c r="AP283" s="1482"/>
      <c r="AQ283" s="1482"/>
      <c r="AR283" s="1482"/>
      <c r="AS283" s="1482"/>
      <c r="AT283" s="1482"/>
      <c r="AU283" s="19"/>
      <c r="AV283" s="19"/>
      <c r="AW283" s="19"/>
      <c r="AX283" s="19"/>
      <c r="AY283" s="19"/>
    </row>
    <row r="284" spans="1:51" ht="13"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3" customHeight="1">
      <c r="A285" s="1" t="s">
        <v>872</v>
      </c>
      <c r="C285" s="1" t="s">
        <v>1121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3" customHeight="1">
      <c r="B287" s="2" t="s">
        <v>1122</v>
      </c>
      <c r="C287" s="2"/>
      <c r="D287" s="2"/>
      <c r="E287" s="2"/>
      <c r="F287" s="2"/>
      <c r="H287" s="1359" t="s">
        <v>1123</v>
      </c>
      <c r="I287" s="1359"/>
      <c r="J287" s="1359"/>
      <c r="K287" s="1359"/>
      <c r="L287" s="1359"/>
      <c r="M287" s="1359"/>
      <c r="N287" s="1359"/>
      <c r="O287" s="1359"/>
      <c r="P287" s="1359"/>
      <c r="Q287" s="1359"/>
      <c r="R287" s="1359"/>
      <c r="T287" s="2" t="s">
        <v>1124</v>
      </c>
      <c r="V287" s="2"/>
      <c r="W287" s="2"/>
      <c r="X287" s="2"/>
      <c r="Y287" s="2"/>
      <c r="AA287" s="1359" t="s">
        <v>1125</v>
      </c>
      <c r="AB287" s="1359"/>
      <c r="AC287" s="1359"/>
      <c r="AD287" s="1359"/>
      <c r="AE287" s="1359"/>
      <c r="AF287" s="1359"/>
      <c r="AG287" s="1359"/>
      <c r="AH287" s="1359"/>
      <c r="AI287" s="1359"/>
      <c r="AJ287" s="1359"/>
      <c r="AK287" s="1359"/>
    </row>
    <row r="288" spans="1:51" ht="13" customHeight="1">
      <c r="B288" s="2" t="s">
        <v>1126</v>
      </c>
      <c r="C288" s="2"/>
      <c r="D288" s="2"/>
      <c r="E288" s="2"/>
      <c r="F288" s="2"/>
      <c r="H288" s="1326" t="s">
        <v>1127</v>
      </c>
      <c r="I288" s="1326"/>
      <c r="J288" s="1326"/>
      <c r="K288" s="1326"/>
      <c r="L288" s="1326"/>
      <c r="M288" s="1326"/>
      <c r="N288" s="1326"/>
      <c r="O288" s="1326"/>
      <c r="P288" s="1326"/>
      <c r="Q288" s="1326"/>
      <c r="R288" s="1326"/>
      <c r="T288" s="2" t="s">
        <v>1126</v>
      </c>
      <c r="V288" s="2"/>
      <c r="W288" s="2"/>
      <c r="X288" s="2"/>
      <c r="Y288" s="2"/>
      <c r="AA288" s="1326" t="s">
        <v>1128</v>
      </c>
      <c r="AB288" s="1326"/>
      <c r="AC288" s="1326"/>
      <c r="AD288" s="1326"/>
      <c r="AE288" s="1326"/>
      <c r="AF288" s="1326"/>
      <c r="AG288" s="1326"/>
      <c r="AH288" s="1326"/>
      <c r="AI288" s="1326"/>
      <c r="AJ288" s="1326"/>
      <c r="AK288" s="1326"/>
    </row>
    <row r="289" spans="2:37" ht="13" customHeight="1">
      <c r="B289" s="2" t="s">
        <v>1129</v>
      </c>
      <c r="C289" s="2"/>
      <c r="D289" s="2"/>
      <c r="E289" s="2"/>
      <c r="F289" s="2"/>
      <c r="H289" s="1326" t="s">
        <v>1130</v>
      </c>
      <c r="I289" s="1326"/>
      <c r="J289" s="1326"/>
      <c r="K289" s="1326"/>
      <c r="L289" s="1326"/>
      <c r="M289" s="1326"/>
      <c r="N289" s="1326"/>
      <c r="O289" s="1326"/>
      <c r="P289" s="1326"/>
      <c r="Q289" s="1326"/>
      <c r="R289" s="1326"/>
      <c r="T289" s="2" t="s">
        <v>1131</v>
      </c>
      <c r="V289" s="2"/>
      <c r="W289" s="2"/>
      <c r="X289" s="2"/>
      <c r="Y289" s="2"/>
      <c r="AA289" s="1326" t="s">
        <v>1132</v>
      </c>
      <c r="AB289" s="1326"/>
      <c r="AC289" s="1326"/>
      <c r="AD289" s="1326"/>
      <c r="AE289" s="1326"/>
      <c r="AF289" s="1326"/>
      <c r="AG289" s="1326"/>
      <c r="AH289" s="1326"/>
      <c r="AI289" s="1326"/>
      <c r="AJ289" s="1326"/>
      <c r="AK289" s="1326"/>
    </row>
    <row r="290" spans="2:37" ht="13" customHeight="1">
      <c r="B290" s="2" t="s">
        <v>1070</v>
      </c>
      <c r="C290" s="2"/>
      <c r="D290" s="2"/>
      <c r="E290" s="2"/>
      <c r="F290" s="2"/>
      <c r="H290" s="1326" t="s">
        <v>1071</v>
      </c>
      <c r="I290" s="1326"/>
      <c r="J290" s="1326"/>
      <c r="K290" s="1326"/>
      <c r="L290" s="1326"/>
      <c r="M290" s="1326"/>
      <c r="N290" s="1326"/>
      <c r="O290" s="1326"/>
      <c r="P290" s="1326"/>
      <c r="Q290" s="1326"/>
      <c r="R290" s="1326"/>
      <c r="T290" s="2" t="s">
        <v>1070</v>
      </c>
      <c r="V290" s="2"/>
      <c r="W290" s="2"/>
      <c r="X290" s="2"/>
      <c r="Y290" s="2"/>
      <c r="AA290" s="1326" t="s">
        <v>1133</v>
      </c>
      <c r="AB290" s="1326"/>
      <c r="AC290" s="1326"/>
      <c r="AD290" s="1326"/>
      <c r="AE290" s="1326"/>
      <c r="AF290" s="1326"/>
      <c r="AG290" s="1326"/>
      <c r="AH290" s="1326"/>
      <c r="AI290" s="1326"/>
      <c r="AJ290" s="1326"/>
      <c r="AK290" s="1326"/>
    </row>
    <row r="291" spans="2:37" ht="13" customHeight="1">
      <c r="B291" s="2" t="s">
        <v>1072</v>
      </c>
      <c r="C291" s="2"/>
      <c r="D291" s="2"/>
      <c r="E291" s="2"/>
      <c r="F291" s="2"/>
      <c r="G291" s="2"/>
      <c r="H291" s="1489" t="s">
        <v>1073</v>
      </c>
      <c r="I291" s="1489"/>
      <c r="J291" s="1489"/>
      <c r="K291" s="1489"/>
      <c r="L291" s="1489"/>
      <c r="M291" s="1489"/>
      <c r="N291" s="2" t="s">
        <v>1074</v>
      </c>
      <c r="O291" s="2"/>
      <c r="P291" s="1472"/>
      <c r="Q291" s="1472"/>
      <c r="R291" s="1472"/>
      <c r="S291" s="2"/>
      <c r="T291" s="2" t="s">
        <v>1072</v>
      </c>
      <c r="V291" s="2"/>
      <c r="W291" s="2"/>
      <c r="X291" s="2"/>
      <c r="Y291" s="2"/>
      <c r="AA291" s="1489" t="s">
        <v>1134</v>
      </c>
      <c r="AB291" s="1489"/>
      <c r="AC291" s="1489"/>
      <c r="AD291" s="1489"/>
      <c r="AE291" s="1489"/>
      <c r="AF291" s="1489"/>
      <c r="AG291" s="2" t="s">
        <v>1074</v>
      </c>
      <c r="AH291" s="2"/>
      <c r="AI291" s="1472"/>
      <c r="AJ291" s="1472"/>
      <c r="AK291" s="1472"/>
    </row>
    <row r="292" spans="2:37" ht="13" customHeight="1">
      <c r="B292" s="2" t="s">
        <v>1075</v>
      </c>
      <c r="C292" s="2"/>
      <c r="D292" s="2"/>
      <c r="E292" s="2"/>
      <c r="F292" s="2"/>
      <c r="G292" s="2"/>
      <c r="H292" s="1439"/>
      <c r="I292" s="1439"/>
      <c r="J292" s="1439"/>
      <c r="K292" s="1439"/>
      <c r="L292" s="1439"/>
      <c r="M292" s="1439"/>
      <c r="N292" s="2"/>
      <c r="O292" s="2"/>
      <c r="P292" s="68"/>
      <c r="Q292" s="68"/>
      <c r="R292" s="68"/>
      <c r="S292" s="2"/>
      <c r="T292" s="2" t="s">
        <v>1075</v>
      </c>
      <c r="V292" s="2"/>
      <c r="W292" s="2"/>
      <c r="X292" s="2"/>
      <c r="Y292" s="2"/>
      <c r="AA292" s="1439"/>
      <c r="AB292" s="1439"/>
      <c r="AC292" s="1439"/>
      <c r="AD292" s="1439"/>
      <c r="AE292" s="1439"/>
      <c r="AF292" s="1439"/>
      <c r="AG292" s="2"/>
      <c r="AH292" s="2"/>
      <c r="AI292" s="68"/>
      <c r="AJ292" s="68"/>
      <c r="AK292" s="68"/>
    </row>
    <row r="293" spans="2:37" ht="13" customHeight="1">
      <c r="B293" s="2" t="s">
        <v>1135</v>
      </c>
      <c r="C293" s="2"/>
      <c r="D293" s="2"/>
      <c r="E293" s="2"/>
      <c r="F293" s="2"/>
      <c r="G293" s="2"/>
      <c r="H293" s="1326" t="s">
        <v>1078</v>
      </c>
      <c r="I293" s="1326"/>
      <c r="J293" s="1326"/>
      <c r="K293" s="1326"/>
      <c r="L293" s="1326"/>
      <c r="M293" s="1326"/>
      <c r="N293" s="1359"/>
      <c r="O293" s="1359"/>
      <c r="P293" s="1359"/>
      <c r="Q293" s="1359"/>
      <c r="R293" s="1359"/>
      <c r="S293" s="2"/>
      <c r="T293" s="2" t="s">
        <v>1135</v>
      </c>
      <c r="V293" s="2"/>
      <c r="W293" s="2"/>
      <c r="X293" s="2"/>
      <c r="Y293" s="2"/>
      <c r="AA293" s="1326"/>
      <c r="AB293" s="1326"/>
      <c r="AC293" s="1326"/>
      <c r="AD293" s="1326"/>
      <c r="AE293" s="1326"/>
      <c r="AF293" s="1326"/>
      <c r="AG293" s="1359"/>
      <c r="AH293" s="1359"/>
      <c r="AI293" s="1359"/>
      <c r="AJ293" s="1359"/>
      <c r="AK293" s="1359"/>
    </row>
    <row r="294" spans="2:37"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3" customHeight="1">
      <c r="B295" s="2" t="s">
        <v>1136</v>
      </c>
      <c r="C295" s="2"/>
      <c r="D295" s="2"/>
      <c r="E295" s="2"/>
      <c r="F295" s="2"/>
      <c r="H295" s="1359" t="s">
        <v>1137</v>
      </c>
      <c r="I295" s="1359"/>
      <c r="J295" s="1359"/>
      <c r="K295" s="1359"/>
      <c r="L295" s="1359"/>
      <c r="M295" s="1359"/>
      <c r="N295" s="1359"/>
      <c r="O295" s="1359"/>
      <c r="P295" s="1359"/>
      <c r="Q295" s="1359"/>
      <c r="R295" s="1359"/>
      <c r="T295" s="2" t="s">
        <v>1138</v>
      </c>
      <c r="V295" s="2"/>
      <c r="W295" s="2"/>
      <c r="X295" s="2"/>
      <c r="Y295" s="2"/>
      <c r="AA295" s="1359" t="s">
        <v>1139</v>
      </c>
      <c r="AB295" s="1359"/>
      <c r="AC295" s="1359"/>
      <c r="AD295" s="1359"/>
      <c r="AE295" s="1359"/>
      <c r="AF295" s="1359"/>
      <c r="AG295" s="1359"/>
      <c r="AH295" s="1359"/>
      <c r="AI295" s="1359"/>
      <c r="AJ295" s="1359"/>
      <c r="AK295" s="1359"/>
    </row>
    <row r="296" spans="2:37" ht="13" customHeight="1">
      <c r="B296" s="2" t="s">
        <v>1126</v>
      </c>
      <c r="C296" s="2"/>
      <c r="D296" s="2"/>
      <c r="E296" s="2"/>
      <c r="F296" s="2"/>
      <c r="H296" s="1326" t="s">
        <v>1140</v>
      </c>
      <c r="I296" s="1326"/>
      <c r="J296" s="1326"/>
      <c r="K296" s="1326"/>
      <c r="L296" s="1326"/>
      <c r="M296" s="1326"/>
      <c r="N296" s="1326"/>
      <c r="O296" s="1326"/>
      <c r="P296" s="1326"/>
      <c r="Q296" s="1326"/>
      <c r="R296" s="1326"/>
      <c r="T296" s="2" t="s">
        <v>1126</v>
      </c>
      <c r="V296" s="2"/>
      <c r="W296" s="2"/>
      <c r="X296" s="2"/>
      <c r="Y296" s="2"/>
      <c r="AA296" s="1326" t="s">
        <v>1127</v>
      </c>
      <c r="AB296" s="1326"/>
      <c r="AC296" s="1326"/>
      <c r="AD296" s="1326"/>
      <c r="AE296" s="1326"/>
      <c r="AF296" s="1326"/>
      <c r="AG296" s="1326"/>
      <c r="AH296" s="1326"/>
      <c r="AI296" s="1326"/>
      <c r="AJ296" s="1326"/>
      <c r="AK296" s="1326"/>
    </row>
    <row r="297" spans="2:37" ht="13" customHeight="1">
      <c r="B297" s="2" t="s">
        <v>1129</v>
      </c>
      <c r="C297" s="2"/>
      <c r="D297" s="2"/>
      <c r="E297" s="2"/>
      <c r="F297" s="2"/>
      <c r="H297" s="1326" t="s">
        <v>1141</v>
      </c>
      <c r="I297" s="1326"/>
      <c r="J297" s="1326"/>
      <c r="K297" s="1326"/>
      <c r="L297" s="1326"/>
      <c r="M297" s="1326"/>
      <c r="N297" s="1326"/>
      <c r="O297" s="1326"/>
      <c r="P297" s="1326"/>
      <c r="Q297" s="1326"/>
      <c r="R297" s="1326"/>
      <c r="T297" s="2" t="s">
        <v>1131</v>
      </c>
      <c r="V297" s="2"/>
      <c r="W297" s="2"/>
      <c r="X297" s="2"/>
      <c r="Y297" s="2"/>
      <c r="AA297" s="1326" t="s">
        <v>1142</v>
      </c>
      <c r="AB297" s="1326"/>
      <c r="AC297" s="1326"/>
      <c r="AD297" s="1326"/>
      <c r="AE297" s="1326"/>
      <c r="AF297" s="1326"/>
      <c r="AG297" s="1326"/>
      <c r="AH297" s="1326"/>
      <c r="AI297" s="1326"/>
      <c r="AJ297" s="1326"/>
      <c r="AK297" s="1326"/>
    </row>
    <row r="298" spans="2:37" ht="13" customHeight="1">
      <c r="B298" s="2" t="s">
        <v>1070</v>
      </c>
      <c r="C298" s="2"/>
      <c r="D298" s="2"/>
      <c r="E298" s="2"/>
      <c r="F298" s="2"/>
      <c r="H298" s="1326" t="s">
        <v>1143</v>
      </c>
      <c r="I298" s="1326"/>
      <c r="J298" s="1326"/>
      <c r="K298" s="1326"/>
      <c r="L298" s="1326"/>
      <c r="M298" s="1326"/>
      <c r="N298" s="1326"/>
      <c r="O298" s="1326"/>
      <c r="P298" s="1326"/>
      <c r="Q298" s="1326"/>
      <c r="R298" s="1326"/>
      <c r="T298" s="2" t="s">
        <v>1070</v>
      </c>
      <c r="V298" s="2"/>
      <c r="W298" s="2"/>
      <c r="X298" s="2"/>
      <c r="Y298" s="2"/>
      <c r="AA298" s="1326" t="s">
        <v>1144</v>
      </c>
      <c r="AB298" s="1326"/>
      <c r="AC298" s="1326"/>
      <c r="AD298" s="1326"/>
      <c r="AE298" s="1326"/>
      <c r="AF298" s="1326"/>
      <c r="AG298" s="1326"/>
      <c r="AH298" s="1326"/>
      <c r="AI298" s="1326"/>
      <c r="AJ298" s="1326"/>
      <c r="AK298" s="1326"/>
    </row>
    <row r="299" spans="2:37" ht="13" customHeight="1">
      <c r="B299" s="2" t="s">
        <v>1072</v>
      </c>
      <c r="C299" s="2"/>
      <c r="D299" s="2"/>
      <c r="E299" s="2"/>
      <c r="F299" s="2"/>
      <c r="G299" s="2"/>
      <c r="H299" s="1489" t="s">
        <v>1145</v>
      </c>
      <c r="I299" s="1489"/>
      <c r="J299" s="1489"/>
      <c r="K299" s="1489"/>
      <c r="L299" s="1489"/>
      <c r="M299" s="1489"/>
      <c r="N299" s="2" t="s">
        <v>1074</v>
      </c>
      <c r="O299" s="2"/>
      <c r="P299" s="1472"/>
      <c r="Q299" s="1472"/>
      <c r="R299" s="1472"/>
      <c r="S299" s="2"/>
      <c r="T299" s="2" t="s">
        <v>1072</v>
      </c>
      <c r="V299" s="2"/>
      <c r="W299" s="2"/>
      <c r="X299" s="2"/>
      <c r="Y299" s="2"/>
      <c r="AA299" s="1489">
        <v>6193787878</v>
      </c>
      <c r="AB299" s="1489"/>
      <c r="AC299" s="1489"/>
      <c r="AD299" s="1489"/>
      <c r="AE299" s="1489"/>
      <c r="AF299" s="1489"/>
      <c r="AG299" s="2" t="s">
        <v>1074</v>
      </c>
      <c r="AH299" s="2"/>
      <c r="AI299" s="1472"/>
      <c r="AJ299" s="1472"/>
      <c r="AK299" s="1472"/>
    </row>
    <row r="300" spans="2:37" ht="13" customHeight="1">
      <c r="B300" s="2" t="s">
        <v>1075</v>
      </c>
      <c r="C300" s="2"/>
      <c r="D300" s="2"/>
      <c r="E300" s="2"/>
      <c r="F300" s="2"/>
      <c r="G300" s="2"/>
      <c r="H300" s="1439"/>
      <c r="I300" s="1439"/>
      <c r="J300" s="1439"/>
      <c r="K300" s="1439"/>
      <c r="L300" s="1439"/>
      <c r="M300" s="1439"/>
      <c r="N300" s="2"/>
      <c r="O300" s="2"/>
      <c r="P300" s="68"/>
      <c r="Q300" s="68"/>
      <c r="R300" s="68"/>
      <c r="S300" s="2"/>
      <c r="T300" s="2" t="s">
        <v>1075</v>
      </c>
      <c r="V300" s="2"/>
      <c r="W300" s="2"/>
      <c r="X300" s="2"/>
      <c r="Y300" s="2"/>
      <c r="AA300" s="1439"/>
      <c r="AB300" s="1439"/>
      <c r="AC300" s="1439"/>
      <c r="AD300" s="1439"/>
      <c r="AE300" s="1439"/>
      <c r="AF300" s="1439"/>
      <c r="AG300" s="2"/>
      <c r="AH300" s="2"/>
      <c r="AI300" s="68"/>
      <c r="AJ300" s="68"/>
      <c r="AK300" s="68"/>
    </row>
    <row r="301" spans="2:37" ht="13" customHeight="1">
      <c r="B301" s="2" t="s">
        <v>1135</v>
      </c>
      <c r="C301" s="2"/>
      <c r="D301" s="2"/>
      <c r="E301" s="2"/>
      <c r="F301" s="2"/>
      <c r="G301" s="2"/>
      <c r="H301" s="1326" t="s">
        <v>1146</v>
      </c>
      <c r="I301" s="1326"/>
      <c r="J301" s="1326"/>
      <c r="K301" s="1326"/>
      <c r="L301" s="1326"/>
      <c r="M301" s="1326"/>
      <c r="N301" s="1359"/>
      <c r="O301" s="1359"/>
      <c r="P301" s="1359"/>
      <c r="Q301" s="1359"/>
      <c r="R301" s="1359"/>
      <c r="S301" s="2"/>
      <c r="T301" s="2" t="s">
        <v>1135</v>
      </c>
      <c r="V301" s="2"/>
      <c r="W301" s="2"/>
      <c r="X301" s="2"/>
      <c r="Y301" s="2"/>
      <c r="AA301" s="1326" t="s">
        <v>1147</v>
      </c>
      <c r="AB301" s="1326"/>
      <c r="AC301" s="1326"/>
      <c r="AD301" s="1326"/>
      <c r="AE301" s="1326"/>
      <c r="AF301" s="1326"/>
      <c r="AG301" s="1359"/>
      <c r="AH301" s="1359"/>
      <c r="AI301" s="1359"/>
      <c r="AJ301" s="1359"/>
      <c r="AK301" s="1359"/>
    </row>
    <row r="302" spans="2:37" ht="13" customHeight="1"/>
    <row r="303" spans="2:37" ht="13" customHeight="1">
      <c r="B303" s="2" t="s">
        <v>1148</v>
      </c>
      <c r="C303" s="2"/>
      <c r="D303" s="2"/>
      <c r="E303" s="2"/>
      <c r="F303" s="2"/>
      <c r="H303" s="1359" t="str">
        <f>H295</f>
        <v>Hobson Bernadino+ Davis LLP</v>
      </c>
      <c r="I303" s="1359"/>
      <c r="J303" s="1359"/>
      <c r="K303" s="1359"/>
      <c r="L303" s="1359"/>
      <c r="M303" s="1359"/>
      <c r="N303" s="1359"/>
      <c r="O303" s="1359"/>
      <c r="P303" s="1359"/>
      <c r="Q303" s="1359"/>
      <c r="R303" s="1359"/>
      <c r="T303" s="2" t="s">
        <v>1149</v>
      </c>
      <c r="V303" s="2"/>
      <c r="W303" s="2"/>
      <c r="X303" s="2"/>
      <c r="Y303" s="2"/>
      <c r="AA303" s="1359" t="s">
        <v>1150</v>
      </c>
      <c r="AB303" s="1359"/>
      <c r="AC303" s="1359"/>
      <c r="AD303" s="1359"/>
      <c r="AE303" s="1359"/>
      <c r="AF303" s="1359"/>
      <c r="AG303" s="1359"/>
      <c r="AH303" s="1359"/>
      <c r="AI303" s="1359"/>
      <c r="AJ303" s="1359"/>
      <c r="AK303" s="1359"/>
    </row>
    <row r="304" spans="2:37" ht="13" customHeight="1">
      <c r="B304" s="2" t="s">
        <v>1126</v>
      </c>
      <c r="C304" s="2"/>
      <c r="D304" s="2"/>
      <c r="E304" s="2"/>
      <c r="F304" s="2"/>
      <c r="H304" s="1326" t="str">
        <f>H296</f>
        <v>6060 Center Drive, Floor 10</v>
      </c>
      <c r="I304" s="1326"/>
      <c r="J304" s="1326"/>
      <c r="K304" s="1326"/>
      <c r="L304" s="1326"/>
      <c r="M304" s="1326"/>
      <c r="N304" s="1326"/>
      <c r="O304" s="1326"/>
      <c r="P304" s="1326"/>
      <c r="Q304" s="1326"/>
      <c r="R304" s="1326"/>
      <c r="T304" s="2" t="s">
        <v>1126</v>
      </c>
      <c r="V304" s="2"/>
      <c r="W304" s="2"/>
      <c r="X304" s="2"/>
      <c r="Y304" s="2"/>
      <c r="AA304" s="1326" t="s">
        <v>1151</v>
      </c>
      <c r="AB304" s="1326"/>
      <c r="AC304" s="1326"/>
      <c r="AD304" s="1326"/>
      <c r="AE304" s="1326"/>
      <c r="AF304" s="1326"/>
      <c r="AG304" s="1326"/>
      <c r="AH304" s="1326"/>
      <c r="AI304" s="1326"/>
      <c r="AJ304" s="1326"/>
      <c r="AK304" s="1326"/>
    </row>
    <row r="305" spans="2:37" ht="13" customHeight="1">
      <c r="B305" s="2" t="s">
        <v>1129</v>
      </c>
      <c r="C305" s="2"/>
      <c r="D305" s="2"/>
      <c r="E305" s="2"/>
      <c r="F305" s="2"/>
      <c r="H305" s="1326" t="str">
        <f>H297</f>
        <v>Los Angeles, CA 90045</v>
      </c>
      <c r="I305" s="1326"/>
      <c r="J305" s="1326"/>
      <c r="K305" s="1326"/>
      <c r="L305" s="1326"/>
      <c r="M305" s="1326"/>
      <c r="N305" s="1326"/>
      <c r="O305" s="1326"/>
      <c r="P305" s="1326"/>
      <c r="Q305" s="1326"/>
      <c r="R305" s="1326"/>
      <c r="T305" s="2" t="s">
        <v>1131</v>
      </c>
      <c r="V305" s="2"/>
      <c r="W305" s="2"/>
      <c r="X305" s="2"/>
      <c r="Y305" s="2"/>
      <c r="AA305" s="1326" t="s">
        <v>1152</v>
      </c>
      <c r="AB305" s="1326"/>
      <c r="AC305" s="1326"/>
      <c r="AD305" s="1326"/>
      <c r="AE305" s="1326"/>
      <c r="AF305" s="1326"/>
      <c r="AG305" s="1326"/>
      <c r="AH305" s="1326"/>
      <c r="AI305" s="1326"/>
      <c r="AJ305" s="1326"/>
      <c r="AK305" s="1326"/>
    </row>
    <row r="306" spans="2:37" ht="13" customHeight="1">
      <c r="B306" s="2" t="s">
        <v>1070</v>
      </c>
      <c r="C306" s="2"/>
      <c r="D306" s="2"/>
      <c r="E306" s="2"/>
      <c r="F306" s="2"/>
      <c r="H306" s="1326" t="str">
        <f>H298</f>
        <v>Jason Hobson</v>
      </c>
      <c r="I306" s="1326"/>
      <c r="J306" s="1326"/>
      <c r="K306" s="1326"/>
      <c r="L306" s="1326"/>
      <c r="M306" s="1326"/>
      <c r="N306" s="1326"/>
      <c r="O306" s="1326"/>
      <c r="P306" s="1326"/>
      <c r="Q306" s="1326"/>
      <c r="R306" s="1326"/>
      <c r="T306" s="2" t="s">
        <v>1070</v>
      </c>
      <c r="V306" s="2"/>
      <c r="W306" s="2"/>
      <c r="X306" s="2"/>
      <c r="Y306" s="2"/>
      <c r="AA306" s="1326" t="s">
        <v>1153</v>
      </c>
      <c r="AB306" s="1326"/>
      <c r="AC306" s="1326"/>
      <c r="AD306" s="1326"/>
      <c r="AE306" s="1326"/>
      <c r="AF306" s="1326"/>
      <c r="AG306" s="1326"/>
      <c r="AH306" s="1326"/>
      <c r="AI306" s="1326"/>
      <c r="AJ306" s="1326"/>
      <c r="AK306" s="1326"/>
    </row>
    <row r="307" spans="2:37" ht="13" customHeight="1">
      <c r="B307" s="2" t="s">
        <v>1072</v>
      </c>
      <c r="C307" s="2"/>
      <c r="D307" s="2"/>
      <c r="E307" s="2"/>
      <c r="F307" s="2"/>
      <c r="G307" s="2"/>
      <c r="H307" s="1489" t="s">
        <v>1145</v>
      </c>
      <c r="I307" s="1489"/>
      <c r="J307" s="1489"/>
      <c r="K307" s="1489"/>
      <c r="L307" s="1489"/>
      <c r="M307" s="1489"/>
      <c r="N307" s="2" t="s">
        <v>1074</v>
      </c>
      <c r="O307" s="2"/>
      <c r="P307" s="1472"/>
      <c r="Q307" s="1472"/>
      <c r="R307" s="1472"/>
      <c r="S307" s="2"/>
      <c r="T307" s="2" t="s">
        <v>1072</v>
      </c>
      <c r="V307" s="2"/>
      <c r="W307" s="2"/>
      <c r="X307" s="2"/>
      <c r="Y307" s="2"/>
      <c r="AA307" s="1489" t="s">
        <v>1154</v>
      </c>
      <c r="AB307" s="1489"/>
      <c r="AC307" s="1489"/>
      <c r="AD307" s="1489"/>
      <c r="AE307" s="1489"/>
      <c r="AF307" s="1489"/>
      <c r="AG307" s="2" t="s">
        <v>1074</v>
      </c>
      <c r="AH307" s="2"/>
      <c r="AI307" s="1472"/>
      <c r="AJ307" s="1472"/>
      <c r="AK307" s="1472"/>
    </row>
    <row r="308" spans="2:37" ht="13" customHeight="1">
      <c r="B308" s="2" t="s">
        <v>1075</v>
      </c>
      <c r="C308" s="2"/>
      <c r="D308" s="2"/>
      <c r="E308" s="2"/>
      <c r="F308" s="2"/>
      <c r="G308" s="2"/>
      <c r="H308" s="1439"/>
      <c r="I308" s="1439"/>
      <c r="J308" s="1439"/>
      <c r="K308" s="1439"/>
      <c r="L308" s="1439"/>
      <c r="M308" s="1439"/>
      <c r="N308" s="2"/>
      <c r="O308" s="2"/>
      <c r="P308" s="68"/>
      <c r="Q308" s="68"/>
      <c r="R308" s="68"/>
      <c r="S308" s="2"/>
      <c r="T308" s="2" t="s">
        <v>1075</v>
      </c>
      <c r="V308" s="2"/>
      <c r="W308" s="2"/>
      <c r="X308" s="2"/>
      <c r="Y308" s="2"/>
      <c r="AA308" s="1439" t="s">
        <v>1155</v>
      </c>
      <c r="AB308" s="1439"/>
      <c r="AC308" s="1439"/>
      <c r="AD308" s="1439"/>
      <c r="AE308" s="1439"/>
      <c r="AF308" s="1439"/>
      <c r="AG308" s="2"/>
      <c r="AH308" s="2"/>
      <c r="AI308" s="68"/>
      <c r="AJ308" s="68"/>
      <c r="AK308" s="68"/>
    </row>
    <row r="309" spans="2:37" ht="13" customHeight="1">
      <c r="B309" s="2" t="s">
        <v>1135</v>
      </c>
      <c r="C309" s="2"/>
      <c r="D309" s="2"/>
      <c r="E309" s="2"/>
      <c r="F309" s="2"/>
      <c r="G309" s="2"/>
      <c r="H309" s="1326" t="s">
        <v>1146</v>
      </c>
      <c r="I309" s="1326"/>
      <c r="J309" s="1326"/>
      <c r="K309" s="1326"/>
      <c r="L309" s="1326"/>
      <c r="M309" s="1326"/>
      <c r="N309" s="1359"/>
      <c r="O309" s="1359"/>
      <c r="P309" s="1359"/>
      <c r="Q309" s="1359"/>
      <c r="R309" s="1359"/>
      <c r="S309" s="2"/>
      <c r="T309" s="2" t="s">
        <v>1135</v>
      </c>
      <c r="V309" s="2"/>
      <c r="W309" s="2"/>
      <c r="X309" s="2"/>
      <c r="Y309" s="2"/>
      <c r="AA309" s="1326" t="s">
        <v>1156</v>
      </c>
      <c r="AB309" s="1326"/>
      <c r="AC309" s="1326"/>
      <c r="AD309" s="1326"/>
      <c r="AE309" s="1326"/>
      <c r="AF309" s="1326"/>
      <c r="AG309" s="1359"/>
      <c r="AH309" s="1359"/>
      <c r="AI309" s="1359"/>
      <c r="AJ309" s="1359"/>
      <c r="AK309" s="1359"/>
    </row>
    <row r="310" spans="2:37" ht="13"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3" customHeight="1">
      <c r="B311" s="2" t="s">
        <v>1157</v>
      </c>
      <c r="C311" s="2"/>
      <c r="D311" s="2"/>
      <c r="E311" s="2"/>
      <c r="F311" s="2"/>
      <c r="H311" s="1359" t="s">
        <v>1158</v>
      </c>
      <c r="I311" s="1359"/>
      <c r="J311" s="1359"/>
      <c r="K311" s="1359"/>
      <c r="L311" s="1359"/>
      <c r="M311" s="1359"/>
      <c r="N311" s="1359"/>
      <c r="O311" s="1359"/>
      <c r="P311" s="1359"/>
      <c r="Q311" s="1359"/>
      <c r="R311" s="1359"/>
      <c r="S311" s="2"/>
      <c r="T311" s="2" t="s">
        <v>1159</v>
      </c>
      <c r="V311" s="2"/>
      <c r="W311" s="2"/>
      <c r="X311" s="2"/>
      <c r="Y311" s="2"/>
      <c r="AA311" s="1359" t="s">
        <v>1160</v>
      </c>
      <c r="AB311" s="1359"/>
      <c r="AC311" s="1359"/>
      <c r="AD311" s="1359"/>
      <c r="AE311" s="1359"/>
      <c r="AF311" s="1359"/>
      <c r="AG311" s="1359"/>
      <c r="AH311" s="1359"/>
      <c r="AI311" s="1359"/>
      <c r="AJ311" s="1359"/>
      <c r="AK311" s="1359"/>
    </row>
    <row r="312" spans="2:37" ht="13" customHeight="1">
      <c r="B312" s="2" t="s">
        <v>1126</v>
      </c>
      <c r="C312" s="2"/>
      <c r="D312" s="2"/>
      <c r="E312" s="2"/>
      <c r="F312" s="2"/>
      <c r="H312" s="1326" t="s">
        <v>1161</v>
      </c>
      <c r="I312" s="1326"/>
      <c r="J312" s="1326"/>
      <c r="K312" s="1326"/>
      <c r="L312" s="1326"/>
      <c r="M312" s="1326"/>
      <c r="N312" s="1326"/>
      <c r="O312" s="1326"/>
      <c r="P312" s="1326"/>
      <c r="Q312" s="1326"/>
      <c r="R312" s="1326"/>
      <c r="S312" s="2"/>
      <c r="T312" s="2" t="s">
        <v>1126</v>
      </c>
      <c r="V312" s="2"/>
      <c r="W312" s="2"/>
      <c r="X312" s="2"/>
      <c r="Y312" s="2"/>
      <c r="AA312" s="1326" t="s">
        <v>1162</v>
      </c>
      <c r="AB312" s="1326"/>
      <c r="AC312" s="1326"/>
      <c r="AD312" s="1326"/>
      <c r="AE312" s="1326"/>
      <c r="AF312" s="1326"/>
      <c r="AG312" s="1326"/>
      <c r="AH312" s="1326"/>
      <c r="AI312" s="1326"/>
      <c r="AJ312" s="1326"/>
      <c r="AK312" s="1326"/>
    </row>
    <row r="313" spans="2:37" ht="13" customHeight="1">
      <c r="B313" s="2" t="s">
        <v>1129</v>
      </c>
      <c r="C313" s="2"/>
      <c r="D313" s="2"/>
      <c r="E313" s="2"/>
      <c r="F313" s="2"/>
      <c r="H313" s="1326" t="s">
        <v>1163</v>
      </c>
      <c r="I313" s="1326"/>
      <c r="J313" s="1326"/>
      <c r="K313" s="1326"/>
      <c r="L313" s="1326"/>
      <c r="M313" s="1326"/>
      <c r="N313" s="1326"/>
      <c r="O313" s="1326"/>
      <c r="P313" s="1326"/>
      <c r="Q313" s="1326"/>
      <c r="R313" s="1326"/>
      <c r="S313" s="2"/>
      <c r="T313" s="2" t="s">
        <v>1131</v>
      </c>
      <c r="V313" s="2"/>
      <c r="W313" s="2"/>
      <c r="X313" s="2"/>
      <c r="Y313" s="2"/>
      <c r="AA313" s="1326" t="s">
        <v>1164</v>
      </c>
      <c r="AB313" s="1326"/>
      <c r="AC313" s="1326"/>
      <c r="AD313" s="1326"/>
      <c r="AE313" s="1326"/>
      <c r="AF313" s="1326"/>
      <c r="AG313" s="1326"/>
      <c r="AH313" s="1326"/>
      <c r="AI313" s="1326"/>
      <c r="AJ313" s="1326"/>
      <c r="AK313" s="1326"/>
    </row>
    <row r="314" spans="2:37" ht="13" customHeight="1">
      <c r="B314" s="2" t="s">
        <v>1070</v>
      </c>
      <c r="C314" s="2"/>
      <c r="D314" s="2"/>
      <c r="E314" s="2"/>
      <c r="F314" s="2"/>
      <c r="H314" s="1326" t="s">
        <v>1165</v>
      </c>
      <c r="I314" s="1326"/>
      <c r="J314" s="1326"/>
      <c r="K314" s="1326"/>
      <c r="L314" s="1326"/>
      <c r="M314" s="1326"/>
      <c r="N314" s="1326"/>
      <c r="O314" s="1326"/>
      <c r="P314" s="1326"/>
      <c r="Q314" s="1326"/>
      <c r="R314" s="1326"/>
      <c r="S314" s="2"/>
      <c r="T314" s="2" t="s">
        <v>1070</v>
      </c>
      <c r="V314" s="2"/>
      <c r="W314" s="2"/>
      <c r="X314" s="2"/>
      <c r="Y314" s="2"/>
      <c r="AA314" s="1326" t="s">
        <v>1166</v>
      </c>
      <c r="AB314" s="1326"/>
      <c r="AC314" s="1326"/>
      <c r="AD314" s="1326"/>
      <c r="AE314" s="1326"/>
      <c r="AF314" s="1326"/>
      <c r="AG314" s="1326"/>
      <c r="AH314" s="1326"/>
      <c r="AI314" s="1326"/>
      <c r="AJ314" s="1326"/>
      <c r="AK314" s="1326"/>
    </row>
    <row r="315" spans="2:37" ht="13" customHeight="1">
      <c r="B315" s="2" t="s">
        <v>1072</v>
      </c>
      <c r="C315" s="2"/>
      <c r="D315" s="2"/>
      <c r="E315" s="2"/>
      <c r="F315" s="2"/>
      <c r="G315" s="2"/>
      <c r="H315" s="1489" t="s">
        <v>1167</v>
      </c>
      <c r="I315" s="1489"/>
      <c r="J315" s="1489"/>
      <c r="K315" s="1489"/>
      <c r="L315" s="1489"/>
      <c r="M315" s="1489"/>
      <c r="N315" s="2" t="s">
        <v>1074</v>
      </c>
      <c r="O315" s="2"/>
      <c r="P315" s="1472"/>
      <c r="Q315" s="1472"/>
      <c r="R315" s="1472"/>
      <c r="S315" s="2"/>
      <c r="T315" s="2" t="s">
        <v>1072</v>
      </c>
      <c r="V315" s="2"/>
      <c r="W315" s="2"/>
      <c r="X315" s="2"/>
      <c r="Y315" s="2"/>
      <c r="AA315" s="1489">
        <v>3107175578</v>
      </c>
      <c r="AB315" s="1489"/>
      <c r="AC315" s="1489"/>
      <c r="AD315" s="1489"/>
      <c r="AE315" s="1489"/>
      <c r="AF315" s="1489"/>
      <c r="AG315" s="2" t="s">
        <v>1074</v>
      </c>
      <c r="AH315" s="2"/>
      <c r="AI315" s="1472"/>
      <c r="AJ315" s="1472"/>
      <c r="AK315" s="1472"/>
    </row>
    <row r="316" spans="2:37" ht="13" customHeight="1">
      <c r="B316" s="2" t="s">
        <v>1075</v>
      </c>
      <c r="C316" s="2"/>
      <c r="D316" s="2"/>
      <c r="E316" s="2"/>
      <c r="F316" s="2"/>
      <c r="G316" s="2"/>
      <c r="H316" s="1439"/>
      <c r="I316" s="1439"/>
      <c r="J316" s="1439"/>
      <c r="K316" s="1439"/>
      <c r="L316" s="1439"/>
      <c r="M316" s="1439"/>
      <c r="N316" s="2"/>
      <c r="O316" s="2"/>
      <c r="P316" s="68"/>
      <c r="Q316" s="68"/>
      <c r="R316" s="68"/>
      <c r="S316" s="2"/>
      <c r="T316" s="2" t="s">
        <v>1075</v>
      </c>
      <c r="V316" s="2"/>
      <c r="W316" s="2"/>
      <c r="X316" s="2"/>
      <c r="Y316" s="2"/>
      <c r="AA316" s="1439"/>
      <c r="AB316" s="1439"/>
      <c r="AC316" s="1439"/>
      <c r="AD316" s="1439"/>
      <c r="AE316" s="1439"/>
      <c r="AF316" s="1439"/>
      <c r="AG316" s="2"/>
      <c r="AH316" s="2"/>
      <c r="AI316" s="68"/>
      <c r="AJ316" s="68"/>
      <c r="AK316" s="68"/>
    </row>
    <row r="317" spans="2:37" ht="13" customHeight="1">
      <c r="B317" s="2" t="s">
        <v>1135</v>
      </c>
      <c r="C317" s="2"/>
      <c r="D317" s="2"/>
      <c r="E317" s="2"/>
      <c r="F317" s="2"/>
      <c r="G317" s="2"/>
      <c r="H317" s="1326" t="s">
        <v>1168</v>
      </c>
      <c r="I317" s="1326"/>
      <c r="J317" s="1326"/>
      <c r="K317" s="1326"/>
      <c r="L317" s="1326"/>
      <c r="M317" s="1326"/>
      <c r="N317" s="1359"/>
      <c r="O317" s="1359"/>
      <c r="P317" s="1359"/>
      <c r="Q317" s="1359"/>
      <c r="R317" s="1359"/>
      <c r="S317" s="2"/>
      <c r="T317" s="2" t="s">
        <v>1135</v>
      </c>
      <c r="V317" s="2"/>
      <c r="W317" s="2"/>
      <c r="X317" s="2"/>
      <c r="Y317" s="2"/>
      <c r="AA317" s="1326" t="s">
        <v>1169</v>
      </c>
      <c r="AB317" s="1326"/>
      <c r="AC317" s="1326"/>
      <c r="AD317" s="1326"/>
      <c r="AE317" s="1326"/>
      <c r="AF317" s="1326"/>
      <c r="AG317" s="1359"/>
      <c r="AH317" s="1359"/>
      <c r="AI317" s="1359"/>
      <c r="AJ317" s="1359"/>
      <c r="AK317" s="1359"/>
    </row>
    <row r="318" spans="2:37" ht="13" customHeight="1"/>
    <row r="319" spans="2:37" ht="13" customHeight="1">
      <c r="B319" s="2" t="s">
        <v>1170</v>
      </c>
      <c r="C319" s="2"/>
      <c r="D319" s="2"/>
      <c r="E319" s="2"/>
      <c r="F319" s="2"/>
      <c r="H319" s="1359"/>
      <c r="I319" s="1359"/>
      <c r="J319" s="1359"/>
      <c r="K319" s="1359"/>
      <c r="L319" s="1359"/>
      <c r="M319" s="1359"/>
      <c r="N319" s="1359"/>
      <c r="O319" s="1359"/>
      <c r="P319" s="1359"/>
      <c r="Q319" s="1359"/>
      <c r="R319" s="1359"/>
      <c r="T319" s="2" t="s">
        <v>1171</v>
      </c>
      <c r="V319" s="2"/>
      <c r="W319" s="2"/>
      <c r="X319" s="2"/>
      <c r="Y319" s="2"/>
      <c r="AA319" s="1359" t="s">
        <v>1158</v>
      </c>
      <c r="AB319" s="1359"/>
      <c r="AC319" s="1359"/>
      <c r="AD319" s="1359"/>
      <c r="AE319" s="1359"/>
      <c r="AF319" s="1359"/>
      <c r="AG319" s="1359"/>
      <c r="AH319" s="1359"/>
      <c r="AI319" s="1359"/>
      <c r="AJ319" s="1359"/>
      <c r="AK319" s="1359"/>
    </row>
    <row r="320" spans="2:37" ht="13" customHeight="1">
      <c r="B320" s="2" t="s">
        <v>1126</v>
      </c>
      <c r="C320" s="2"/>
      <c r="D320" s="2"/>
      <c r="E320" s="2"/>
      <c r="F320" s="2"/>
      <c r="H320" s="1326"/>
      <c r="I320" s="1326"/>
      <c r="J320" s="1326"/>
      <c r="K320" s="1326"/>
      <c r="L320" s="1326"/>
      <c r="M320" s="1326"/>
      <c r="N320" s="1326"/>
      <c r="O320" s="1326"/>
      <c r="P320" s="1326"/>
      <c r="Q320" s="1326"/>
      <c r="R320" s="1326"/>
      <c r="T320" s="2" t="s">
        <v>1126</v>
      </c>
      <c r="V320" s="2"/>
      <c r="W320" s="2"/>
      <c r="X320" s="2"/>
      <c r="Y320" s="2"/>
      <c r="AA320" s="1326" t="s">
        <v>1172</v>
      </c>
      <c r="AB320" s="1326"/>
      <c r="AC320" s="1326"/>
      <c r="AD320" s="1326"/>
      <c r="AE320" s="1326"/>
      <c r="AF320" s="1326"/>
      <c r="AG320" s="1326"/>
      <c r="AH320" s="1326"/>
      <c r="AI320" s="1326"/>
      <c r="AJ320" s="1326"/>
      <c r="AK320" s="1326"/>
    </row>
    <row r="321" spans="2:37" ht="13" customHeight="1">
      <c r="B321" s="2" t="s">
        <v>1129</v>
      </c>
      <c r="C321" s="2"/>
      <c r="D321" s="2"/>
      <c r="E321" s="2"/>
      <c r="F321" s="2"/>
      <c r="H321" s="1326"/>
      <c r="I321" s="1326"/>
      <c r="J321" s="1326"/>
      <c r="K321" s="1326"/>
      <c r="L321" s="1326"/>
      <c r="M321" s="1326"/>
      <c r="N321" s="1326"/>
      <c r="O321" s="1326"/>
      <c r="P321" s="1326"/>
      <c r="Q321" s="1326"/>
      <c r="R321" s="1326"/>
      <c r="T321" s="2" t="s">
        <v>1131</v>
      </c>
      <c r="V321" s="2"/>
      <c r="W321" s="2"/>
      <c r="X321" s="2"/>
      <c r="Y321" s="2"/>
      <c r="AA321" s="1326" t="s">
        <v>1173</v>
      </c>
      <c r="AB321" s="1326"/>
      <c r="AC321" s="1326"/>
      <c r="AD321" s="1326"/>
      <c r="AE321" s="1326"/>
      <c r="AF321" s="1326"/>
      <c r="AG321" s="1326"/>
      <c r="AH321" s="1326"/>
      <c r="AI321" s="1326"/>
      <c r="AJ321" s="1326"/>
      <c r="AK321" s="1326"/>
    </row>
    <row r="322" spans="2:37" ht="13" customHeight="1">
      <c r="B322" s="2" t="s">
        <v>1070</v>
      </c>
      <c r="C322" s="2"/>
      <c r="D322" s="2"/>
      <c r="E322" s="2"/>
      <c r="F322" s="2"/>
      <c r="H322" s="1326"/>
      <c r="I322" s="1326"/>
      <c r="J322" s="1326"/>
      <c r="K322" s="1326"/>
      <c r="L322" s="1326"/>
      <c r="M322" s="1326"/>
      <c r="N322" s="1326"/>
      <c r="O322" s="1326"/>
      <c r="P322" s="1326"/>
      <c r="Q322" s="1326"/>
      <c r="R322" s="1326"/>
      <c r="T322" s="2" t="s">
        <v>1070</v>
      </c>
      <c r="V322" s="2"/>
      <c r="W322" s="2"/>
      <c r="X322" s="2"/>
      <c r="Y322" s="2"/>
      <c r="AA322" s="1326" t="s">
        <v>1174</v>
      </c>
      <c r="AB322" s="1326"/>
      <c r="AC322" s="1326"/>
      <c r="AD322" s="1326"/>
      <c r="AE322" s="1326"/>
      <c r="AF322" s="1326"/>
      <c r="AG322" s="1326"/>
      <c r="AH322" s="1326"/>
      <c r="AI322" s="1326"/>
      <c r="AJ322" s="1326"/>
      <c r="AK322" s="1326"/>
    </row>
    <row r="323" spans="2:37" ht="13" customHeight="1">
      <c r="B323" s="2" t="s">
        <v>1072</v>
      </c>
      <c r="C323" s="2"/>
      <c r="D323" s="2"/>
      <c r="E323" s="2"/>
      <c r="F323" s="2"/>
      <c r="G323" s="2"/>
      <c r="H323" s="1489"/>
      <c r="I323" s="1489"/>
      <c r="J323" s="1489"/>
      <c r="K323" s="1489"/>
      <c r="L323" s="1489"/>
      <c r="M323" s="1489"/>
      <c r="N323" s="2" t="s">
        <v>1074</v>
      </c>
      <c r="O323" s="2"/>
      <c r="P323" s="1472"/>
      <c r="Q323" s="1472"/>
      <c r="R323" s="1472"/>
      <c r="S323" s="2"/>
      <c r="T323" s="2" t="s">
        <v>1072</v>
      </c>
      <c r="V323" s="2"/>
      <c r="W323" s="2"/>
      <c r="X323" s="2"/>
      <c r="Y323" s="2"/>
      <c r="AA323" s="1489">
        <v>9133124612</v>
      </c>
      <c r="AB323" s="1489"/>
      <c r="AC323" s="1489"/>
      <c r="AD323" s="1489"/>
      <c r="AE323" s="1489"/>
      <c r="AF323" s="1489"/>
      <c r="AG323" s="2" t="s">
        <v>1074</v>
      </c>
      <c r="AH323" s="2"/>
      <c r="AI323" s="1472"/>
      <c r="AJ323" s="1472"/>
      <c r="AK323" s="1472"/>
    </row>
    <row r="324" spans="2:37" ht="13" customHeight="1">
      <c r="B324" s="2" t="s">
        <v>1075</v>
      </c>
      <c r="C324" s="2"/>
      <c r="D324" s="2"/>
      <c r="E324" s="2"/>
      <c r="F324" s="2"/>
      <c r="G324" s="2"/>
      <c r="H324" s="1439"/>
      <c r="I324" s="1439"/>
      <c r="J324" s="1439"/>
      <c r="K324" s="1439"/>
      <c r="L324" s="1439"/>
      <c r="M324" s="1439"/>
      <c r="N324" s="2"/>
      <c r="O324" s="2"/>
      <c r="P324" s="68"/>
      <c r="Q324" s="68"/>
      <c r="R324" s="68"/>
      <c r="S324" s="2"/>
      <c r="T324" s="2" t="s">
        <v>1075</v>
      </c>
      <c r="V324" s="2"/>
      <c r="W324" s="2"/>
      <c r="X324" s="2"/>
      <c r="Y324" s="2"/>
      <c r="AA324" s="1439"/>
      <c r="AB324" s="1439"/>
      <c r="AC324" s="1439"/>
      <c r="AD324" s="1439"/>
      <c r="AE324" s="1439"/>
      <c r="AF324" s="1439"/>
      <c r="AG324" s="2"/>
      <c r="AH324" s="2"/>
      <c r="AI324" s="68"/>
      <c r="AJ324" s="68"/>
      <c r="AK324" s="68"/>
    </row>
    <row r="325" spans="2:37" ht="13" customHeight="1">
      <c r="B325" s="2" t="s">
        <v>1135</v>
      </c>
      <c r="C325" s="2"/>
      <c r="D325" s="2"/>
      <c r="E325" s="2"/>
      <c r="F325" s="2"/>
      <c r="G325" s="2"/>
      <c r="H325" s="1326"/>
      <c r="I325" s="1326"/>
      <c r="J325" s="1326"/>
      <c r="K325" s="1326"/>
      <c r="L325" s="1326"/>
      <c r="M325" s="1326"/>
      <c r="N325" s="1359"/>
      <c r="O325" s="1359"/>
      <c r="P325" s="1359"/>
      <c r="Q325" s="1359"/>
      <c r="R325" s="1359"/>
      <c r="S325" s="2"/>
      <c r="T325" s="2" t="s">
        <v>1135</v>
      </c>
      <c r="V325" s="2"/>
      <c r="W325" s="2"/>
      <c r="X325" s="2"/>
      <c r="Y325" s="2"/>
      <c r="AA325" s="1326" t="s">
        <v>1175</v>
      </c>
      <c r="AB325" s="1326"/>
      <c r="AC325" s="1326"/>
      <c r="AD325" s="1326"/>
      <c r="AE325" s="1326"/>
      <c r="AF325" s="1326"/>
      <c r="AG325" s="1359"/>
      <c r="AH325" s="1359"/>
      <c r="AI325" s="1359"/>
      <c r="AJ325" s="1359"/>
      <c r="AK325" s="1359"/>
    </row>
    <row r="326" spans="2:37" ht="13" customHeight="1">
      <c r="B326" s="2"/>
      <c r="C326" s="2"/>
      <c r="D326" s="2"/>
      <c r="E326" s="2"/>
      <c r="F326" s="2"/>
      <c r="G326" s="2"/>
      <c r="P326" s="1041"/>
      <c r="Q326" s="1041"/>
      <c r="R326" s="1041"/>
      <c r="S326" s="1041"/>
      <c r="T326" s="1041"/>
      <c r="U326" s="1041"/>
      <c r="V326" s="2"/>
      <c r="W326" s="2"/>
      <c r="X326" s="68"/>
      <c r="Y326" s="68"/>
      <c r="Z326" s="68"/>
    </row>
    <row r="327" spans="2:37" ht="13" customHeight="1">
      <c r="B327" s="2" t="s">
        <v>1176</v>
      </c>
      <c r="C327" s="2"/>
      <c r="D327" s="2"/>
      <c r="E327" s="2"/>
      <c r="F327" s="2"/>
      <c r="H327" s="1359" t="s">
        <v>1158</v>
      </c>
      <c r="I327" s="1359"/>
      <c r="J327" s="1359"/>
      <c r="K327" s="1359"/>
      <c r="L327" s="1359"/>
      <c r="M327" s="1359"/>
      <c r="N327" s="1359"/>
      <c r="O327" s="1359"/>
      <c r="P327" s="1359"/>
      <c r="Q327" s="1359"/>
      <c r="R327" s="1359"/>
      <c r="T327" s="2" t="s">
        <v>1177</v>
      </c>
      <c r="V327" s="2"/>
      <c r="W327" s="2"/>
      <c r="X327" s="2"/>
      <c r="Y327" s="2"/>
      <c r="AA327" s="1359"/>
      <c r="AB327" s="1359"/>
      <c r="AC327" s="1359"/>
      <c r="AD327" s="1359"/>
      <c r="AE327" s="1359"/>
      <c r="AF327" s="1359"/>
      <c r="AG327" s="1359"/>
      <c r="AH327" s="1359"/>
      <c r="AI327" s="1359"/>
      <c r="AJ327" s="1359"/>
      <c r="AK327" s="1359"/>
    </row>
    <row r="328" spans="2:37" ht="13" customHeight="1">
      <c r="B328" s="2" t="s">
        <v>1126</v>
      </c>
      <c r="C328" s="2"/>
      <c r="D328" s="2"/>
      <c r="E328" s="2"/>
      <c r="F328" s="2"/>
      <c r="H328" s="1326" t="s">
        <v>1172</v>
      </c>
      <c r="I328" s="1326"/>
      <c r="J328" s="1326"/>
      <c r="K328" s="1326"/>
      <c r="L328" s="1326"/>
      <c r="M328" s="1326"/>
      <c r="N328" s="1326"/>
      <c r="O328" s="1326"/>
      <c r="P328" s="1326"/>
      <c r="Q328" s="1326"/>
      <c r="R328" s="1326"/>
      <c r="T328" s="2" t="s">
        <v>1126</v>
      </c>
      <c r="V328" s="2"/>
      <c r="W328" s="2"/>
      <c r="X328" s="2"/>
      <c r="Y328" s="2"/>
      <c r="AA328" s="1326"/>
      <c r="AB328" s="1326"/>
      <c r="AC328" s="1326"/>
      <c r="AD328" s="1326"/>
      <c r="AE328" s="1326"/>
      <c r="AF328" s="1326"/>
      <c r="AG328" s="1326"/>
      <c r="AH328" s="1326"/>
      <c r="AI328" s="1326"/>
      <c r="AJ328" s="1326"/>
      <c r="AK328" s="1326"/>
    </row>
    <row r="329" spans="2:37" ht="13" customHeight="1">
      <c r="B329" s="2" t="s">
        <v>1129</v>
      </c>
      <c r="C329" s="2"/>
      <c r="D329" s="2"/>
      <c r="E329" s="2"/>
      <c r="F329" s="2"/>
      <c r="H329" s="1326" t="s">
        <v>1173</v>
      </c>
      <c r="I329" s="1326"/>
      <c r="J329" s="1326"/>
      <c r="K329" s="1326"/>
      <c r="L329" s="1326"/>
      <c r="M329" s="1326"/>
      <c r="N329" s="1326"/>
      <c r="O329" s="1326"/>
      <c r="P329" s="1326"/>
      <c r="Q329" s="1326"/>
      <c r="R329" s="1326"/>
      <c r="T329" s="2" t="s">
        <v>1131</v>
      </c>
      <c r="V329" s="2"/>
      <c r="W329" s="2"/>
      <c r="X329" s="2"/>
      <c r="Y329" s="2"/>
      <c r="AA329" s="1326"/>
      <c r="AB329" s="1326"/>
      <c r="AC329" s="1326"/>
      <c r="AD329" s="1326"/>
      <c r="AE329" s="1326"/>
      <c r="AF329" s="1326"/>
      <c r="AG329" s="1326"/>
      <c r="AH329" s="1326"/>
      <c r="AI329" s="1326"/>
      <c r="AJ329" s="1326"/>
      <c r="AK329" s="1326"/>
    </row>
    <row r="330" spans="2:37" ht="13" customHeight="1">
      <c r="B330" s="2" t="s">
        <v>1070</v>
      </c>
      <c r="C330" s="2"/>
      <c r="D330" s="2"/>
      <c r="E330" s="2"/>
      <c r="F330" s="2"/>
      <c r="H330" s="1326" t="s">
        <v>1174</v>
      </c>
      <c r="I330" s="1326"/>
      <c r="J330" s="1326"/>
      <c r="K330" s="1326"/>
      <c r="L330" s="1326"/>
      <c r="M330" s="1326"/>
      <c r="N330" s="1326"/>
      <c r="O330" s="1326"/>
      <c r="P330" s="1326"/>
      <c r="Q330" s="1326"/>
      <c r="R330" s="1326"/>
      <c r="T330" s="2" t="s">
        <v>1070</v>
      </c>
      <c r="V330" s="2"/>
      <c r="W330" s="2"/>
      <c r="X330" s="2"/>
      <c r="Y330" s="2"/>
      <c r="AA330" s="1326"/>
      <c r="AB330" s="1326"/>
      <c r="AC330" s="1326"/>
      <c r="AD330" s="1326"/>
      <c r="AE330" s="1326"/>
      <c r="AF330" s="1326"/>
      <c r="AG330" s="1326"/>
      <c r="AH330" s="1326"/>
      <c r="AI330" s="1326"/>
      <c r="AJ330" s="1326"/>
      <c r="AK330" s="1326"/>
    </row>
    <row r="331" spans="2:37" ht="13" customHeight="1">
      <c r="B331" s="2" t="s">
        <v>1072</v>
      </c>
      <c r="C331" s="2"/>
      <c r="D331" s="2"/>
      <c r="E331" s="2"/>
      <c r="F331" s="2"/>
      <c r="G331" s="2"/>
      <c r="H331" s="1489">
        <v>9133124612</v>
      </c>
      <c r="I331" s="1489"/>
      <c r="J331" s="1489"/>
      <c r="K331" s="1489"/>
      <c r="L331" s="1489"/>
      <c r="M331" s="1489"/>
      <c r="N331" s="2" t="s">
        <v>1074</v>
      </c>
      <c r="O331" s="2"/>
      <c r="P331" s="1472"/>
      <c r="Q331" s="1472"/>
      <c r="R331" s="1472"/>
      <c r="S331" s="2"/>
      <c r="T331" s="2" t="s">
        <v>1072</v>
      </c>
      <c r="V331" s="2"/>
      <c r="W331" s="2"/>
      <c r="X331" s="2"/>
      <c r="Y331" s="2"/>
      <c r="AA331" s="1489"/>
      <c r="AB331" s="1489"/>
      <c r="AC331" s="1489"/>
      <c r="AD331" s="1489"/>
      <c r="AE331" s="1489"/>
      <c r="AF331" s="1489"/>
      <c r="AG331" s="2" t="s">
        <v>1074</v>
      </c>
      <c r="AH331" s="2"/>
      <c r="AI331" s="1472"/>
      <c r="AJ331" s="1472"/>
      <c r="AK331" s="1472"/>
    </row>
    <row r="332" spans="2:37" ht="13" customHeight="1">
      <c r="B332" s="2" t="s">
        <v>1075</v>
      </c>
      <c r="C332" s="2"/>
      <c r="D332" s="2"/>
      <c r="E332" s="2"/>
      <c r="F332" s="2"/>
      <c r="G332" s="2"/>
      <c r="H332" s="1439"/>
      <c r="I332" s="1439"/>
      <c r="J332" s="1439"/>
      <c r="K332" s="1439"/>
      <c r="L332" s="1439"/>
      <c r="M332" s="1439"/>
      <c r="N332" s="2"/>
      <c r="O332" s="2"/>
      <c r="P332" s="68"/>
      <c r="Q332" s="68"/>
      <c r="R332" s="68"/>
      <c r="S332" s="2"/>
      <c r="T332" s="2" t="s">
        <v>1075</v>
      </c>
      <c r="V332" s="2"/>
      <c r="W332" s="2"/>
      <c r="X332" s="2"/>
      <c r="Y332" s="2"/>
      <c r="AA332" s="1439"/>
      <c r="AB332" s="1439"/>
      <c r="AC332" s="1439"/>
      <c r="AD332" s="1439"/>
      <c r="AE332" s="1439"/>
      <c r="AF332" s="1439"/>
      <c r="AG332" s="2"/>
      <c r="AH332" s="2"/>
      <c r="AI332" s="68"/>
      <c r="AJ332" s="68"/>
      <c r="AK332" s="68"/>
    </row>
    <row r="333" spans="2:37" ht="13" customHeight="1">
      <c r="B333" s="2" t="s">
        <v>1135</v>
      </c>
      <c r="C333" s="2"/>
      <c r="D333" s="2"/>
      <c r="E333" s="2"/>
      <c r="F333" s="2"/>
      <c r="G333" s="2"/>
      <c r="H333" s="1326" t="s">
        <v>1175</v>
      </c>
      <c r="I333" s="1326"/>
      <c r="J333" s="1326"/>
      <c r="K333" s="1326"/>
      <c r="L333" s="1326"/>
      <c r="M333" s="1326"/>
      <c r="N333" s="1359"/>
      <c r="O333" s="1359"/>
      <c r="P333" s="1359"/>
      <c r="Q333" s="1359"/>
      <c r="R333" s="1359"/>
      <c r="S333" s="2"/>
      <c r="T333" s="2" t="s">
        <v>1135</v>
      </c>
      <c r="V333" s="2"/>
      <c r="W333" s="2"/>
      <c r="X333" s="2"/>
      <c r="Y333" s="2"/>
      <c r="AA333" s="1326"/>
      <c r="AB333" s="1326"/>
      <c r="AC333" s="1326"/>
      <c r="AD333" s="1326"/>
      <c r="AE333" s="1326"/>
      <c r="AF333" s="1326"/>
      <c r="AG333" s="1359"/>
      <c r="AH333" s="1359"/>
      <c r="AI333" s="1359"/>
      <c r="AJ333" s="1359"/>
      <c r="AK333" s="1359"/>
    </row>
    <row r="334" spans="2:37" ht="13" customHeight="1">
      <c r="B334" s="2"/>
      <c r="C334" s="2"/>
      <c r="D334" s="2"/>
      <c r="E334" s="2"/>
      <c r="F334" s="2"/>
      <c r="G334" s="2"/>
      <c r="P334" s="1041"/>
      <c r="Q334" s="1041"/>
      <c r="R334" s="1041"/>
      <c r="S334" s="1041"/>
      <c r="T334" s="1041"/>
      <c r="U334" s="1041"/>
      <c r="V334" s="2"/>
      <c r="W334" s="2"/>
      <c r="X334" s="68"/>
      <c r="Y334" s="68"/>
      <c r="Z334" s="68"/>
    </row>
    <row r="335" spans="2:37" ht="13" customHeight="1">
      <c r="B335" s="2" t="s">
        <v>1178</v>
      </c>
      <c r="C335" s="2"/>
      <c r="D335" s="2"/>
      <c r="E335" s="2"/>
      <c r="F335" s="2"/>
      <c r="H335" s="1359" t="s">
        <v>1179</v>
      </c>
      <c r="I335" s="1359"/>
      <c r="J335" s="1359"/>
      <c r="K335" s="1359"/>
      <c r="L335" s="1359"/>
      <c r="M335" s="1359"/>
      <c r="N335" s="1359"/>
      <c r="O335" s="1359"/>
      <c r="P335" s="1359"/>
      <c r="Q335" s="1359"/>
      <c r="R335" s="1359"/>
      <c r="T335" s="113" t="s">
        <v>1180</v>
      </c>
      <c r="V335" s="2"/>
      <c r="W335" s="2"/>
      <c r="X335" s="2"/>
      <c r="Y335" s="2"/>
      <c r="AA335" s="1359" t="s">
        <v>1181</v>
      </c>
      <c r="AB335" s="1359"/>
      <c r="AC335" s="1359"/>
      <c r="AD335" s="1359"/>
      <c r="AE335" s="1359"/>
      <c r="AF335" s="1359"/>
      <c r="AG335" s="1359"/>
      <c r="AH335" s="1359"/>
      <c r="AI335" s="1359"/>
      <c r="AJ335" s="1359"/>
      <c r="AK335" s="1359"/>
    </row>
    <row r="336" spans="2:37" ht="13" customHeight="1">
      <c r="B336" s="2" t="s">
        <v>1126</v>
      </c>
      <c r="C336" s="2"/>
      <c r="D336" s="2"/>
      <c r="E336" s="2"/>
      <c r="F336" s="2"/>
      <c r="H336" s="1326" t="s">
        <v>1182</v>
      </c>
      <c r="I336" s="1326"/>
      <c r="J336" s="1326"/>
      <c r="K336" s="1326"/>
      <c r="L336" s="1326"/>
      <c r="M336" s="1326"/>
      <c r="N336" s="1326"/>
      <c r="O336" s="1326"/>
      <c r="P336" s="1326"/>
      <c r="Q336" s="1326"/>
      <c r="R336" s="1326"/>
      <c r="T336" s="2" t="s">
        <v>1126</v>
      </c>
      <c r="V336" s="2"/>
      <c r="W336" s="2"/>
      <c r="X336" s="2"/>
      <c r="Y336" s="2"/>
      <c r="AA336" s="1326" t="s">
        <v>1183</v>
      </c>
      <c r="AB336" s="1326"/>
      <c r="AC336" s="1326"/>
      <c r="AD336" s="1326"/>
      <c r="AE336" s="1326"/>
      <c r="AF336" s="1326"/>
      <c r="AG336" s="1326"/>
      <c r="AH336" s="1326"/>
      <c r="AI336" s="1326"/>
      <c r="AJ336" s="1326"/>
      <c r="AK336" s="1326"/>
    </row>
    <row r="337" spans="1:66" ht="13" customHeight="1">
      <c r="B337" s="2" t="s">
        <v>1131</v>
      </c>
      <c r="C337" s="2"/>
      <c r="D337" s="2"/>
      <c r="E337" s="2"/>
      <c r="F337" s="2"/>
      <c r="H337" s="1326" t="s">
        <v>1184</v>
      </c>
      <c r="I337" s="1326"/>
      <c r="J337" s="1326"/>
      <c r="K337" s="1326"/>
      <c r="L337" s="1326"/>
      <c r="M337" s="1326"/>
      <c r="N337" s="1326"/>
      <c r="O337" s="1326"/>
      <c r="P337" s="1326"/>
      <c r="Q337" s="1326"/>
      <c r="R337" s="1326"/>
      <c r="T337" s="2" t="s">
        <v>1131</v>
      </c>
      <c r="V337" s="2"/>
      <c r="W337" s="2"/>
      <c r="X337" s="2"/>
      <c r="Y337" s="2"/>
      <c r="AA337" s="1326" t="s">
        <v>1185</v>
      </c>
      <c r="AB337" s="1326"/>
      <c r="AC337" s="1326"/>
      <c r="AD337" s="1326"/>
      <c r="AE337" s="1326"/>
      <c r="AF337" s="1326"/>
      <c r="AG337" s="1326"/>
      <c r="AH337" s="1326"/>
      <c r="AI337" s="1326"/>
      <c r="AJ337" s="1326"/>
      <c r="AK337" s="1326"/>
    </row>
    <row r="338" spans="1:66" ht="13" customHeight="1">
      <c r="B338" s="2" t="s">
        <v>1070</v>
      </c>
      <c r="C338" s="2"/>
      <c r="D338" s="2"/>
      <c r="E338" s="2"/>
      <c r="F338" s="2"/>
      <c r="G338" s="2"/>
      <c r="H338" s="1326" t="s">
        <v>1186</v>
      </c>
      <c r="I338" s="1326"/>
      <c r="J338" s="1326"/>
      <c r="K338" s="1326"/>
      <c r="L338" s="1326"/>
      <c r="M338" s="1326"/>
      <c r="N338" s="1326"/>
      <c r="O338" s="1326"/>
      <c r="P338" s="1326"/>
      <c r="Q338" s="1326"/>
      <c r="R338" s="1326"/>
      <c r="T338" s="2" t="s">
        <v>1070</v>
      </c>
      <c r="V338" s="2"/>
      <c r="W338" s="2"/>
      <c r="X338" s="2"/>
      <c r="Y338" s="2"/>
      <c r="AA338" s="1326" t="s">
        <v>1187</v>
      </c>
      <c r="AB338" s="1326"/>
      <c r="AC338" s="1326"/>
      <c r="AD338" s="1326"/>
      <c r="AE338" s="1326"/>
      <c r="AF338" s="1326"/>
      <c r="AG338" s="1326"/>
      <c r="AH338" s="1326"/>
      <c r="AI338" s="1326"/>
      <c r="AJ338" s="1326"/>
      <c r="AK338" s="1326"/>
    </row>
    <row r="339" spans="1:66" ht="13" customHeight="1">
      <c r="B339" s="2" t="s">
        <v>1072</v>
      </c>
      <c r="C339" s="2"/>
      <c r="D339" s="2"/>
      <c r="E339" s="2"/>
      <c r="F339" s="2"/>
      <c r="G339" s="2"/>
      <c r="H339" s="1489" t="s">
        <v>1188</v>
      </c>
      <c r="I339" s="1489"/>
      <c r="J339" s="1489"/>
      <c r="K339" s="1489"/>
      <c r="L339" s="1489"/>
      <c r="M339" s="1489"/>
      <c r="N339" s="2" t="s">
        <v>1074</v>
      </c>
      <c r="O339" s="2"/>
      <c r="P339" s="1472"/>
      <c r="Q339" s="1472"/>
      <c r="R339" s="1472"/>
      <c r="S339" s="2"/>
      <c r="T339" s="2" t="s">
        <v>1072</v>
      </c>
      <c r="V339" s="2"/>
      <c r="W339" s="2"/>
      <c r="X339" s="2"/>
      <c r="Y339" s="2"/>
      <c r="AA339" s="1489" t="s">
        <v>1189</v>
      </c>
      <c r="AB339" s="1489"/>
      <c r="AC339" s="1489"/>
      <c r="AD339" s="1489"/>
      <c r="AE339" s="1489"/>
      <c r="AF339" s="1489"/>
      <c r="AG339" s="2" t="s">
        <v>1074</v>
      </c>
      <c r="AH339" s="2"/>
      <c r="AI339" s="1472"/>
      <c r="AJ339" s="1472"/>
      <c r="AK339" s="1472"/>
    </row>
    <row r="340" spans="1:66" ht="13" customHeight="1">
      <c r="B340" s="2" t="s">
        <v>1075</v>
      </c>
      <c r="C340" s="2"/>
      <c r="D340" s="2"/>
      <c r="E340" s="2"/>
      <c r="F340" s="2"/>
      <c r="G340" s="2"/>
      <c r="H340" s="1439" t="s">
        <v>1190</v>
      </c>
      <c r="I340" s="1439"/>
      <c r="J340" s="1439"/>
      <c r="K340" s="1439"/>
      <c r="L340" s="1439"/>
      <c r="M340" s="1439"/>
      <c r="N340" s="2"/>
      <c r="O340" s="2"/>
      <c r="P340" s="68"/>
      <c r="Q340" s="68"/>
      <c r="R340" s="68"/>
      <c r="S340" s="2"/>
      <c r="T340" s="2" t="s">
        <v>1075</v>
      </c>
      <c r="V340" s="2"/>
      <c r="W340" s="2"/>
      <c r="X340" s="2"/>
      <c r="Y340" s="2"/>
      <c r="AA340" s="1439"/>
      <c r="AB340" s="1439"/>
      <c r="AC340" s="1439"/>
      <c r="AD340" s="1439"/>
      <c r="AE340" s="1439"/>
      <c r="AF340" s="1439"/>
      <c r="AG340" s="2"/>
      <c r="AH340" s="2"/>
      <c r="AI340" s="68"/>
      <c r="AJ340" s="68"/>
      <c r="AK340" s="68"/>
    </row>
    <row r="341" spans="1:66" ht="13" customHeight="1">
      <c r="B341" s="2" t="s">
        <v>1135</v>
      </c>
      <c r="C341" s="2"/>
      <c r="D341" s="2"/>
      <c r="E341" s="2"/>
      <c r="F341" s="2"/>
      <c r="G341" s="2"/>
      <c r="H341" s="1326" t="s">
        <v>1191</v>
      </c>
      <c r="I341" s="1326"/>
      <c r="J341" s="1326"/>
      <c r="K341" s="1326"/>
      <c r="L341" s="1326"/>
      <c r="M341" s="1326"/>
      <c r="N341" s="1359"/>
      <c r="O341" s="1359"/>
      <c r="P341" s="1359"/>
      <c r="Q341" s="1359"/>
      <c r="R341" s="1359"/>
      <c r="S341" s="2"/>
      <c r="T341" s="2" t="s">
        <v>1135</v>
      </c>
      <c r="V341" s="2"/>
      <c r="W341" s="2"/>
      <c r="X341" s="2"/>
      <c r="Y341" s="2"/>
      <c r="AA341" s="1326" t="s">
        <v>1192</v>
      </c>
      <c r="AB341" s="1326"/>
      <c r="AC341" s="1326"/>
      <c r="AD341" s="1326"/>
      <c r="AE341" s="1326"/>
      <c r="AF341" s="1326"/>
      <c r="AG341" s="1359"/>
      <c r="AH341" s="1359"/>
      <c r="AI341" s="1359"/>
      <c r="AJ341" s="1359"/>
      <c r="AK341" s="1359"/>
    </row>
    <row r="342" spans="1:66" ht="13"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798</v>
      </c>
    </row>
    <row r="343" spans="1:66" ht="13" customHeight="1">
      <c r="B343" s="2"/>
      <c r="C343" s="2"/>
      <c r="D343" s="2"/>
      <c r="E343" s="2"/>
      <c r="F343" s="2"/>
      <c r="I343" s="113" t="s">
        <v>1193</v>
      </c>
      <c r="P343" s="1359"/>
      <c r="Q343" s="1359"/>
      <c r="R343" s="1359"/>
      <c r="S343" s="1359"/>
      <c r="T343" s="1359"/>
      <c r="U343" s="1359"/>
      <c r="V343" s="1359"/>
      <c r="W343" s="1359"/>
      <c r="X343" s="1359"/>
      <c r="Y343" s="1359"/>
      <c r="Z343" s="1359"/>
      <c r="AA343" s="1359"/>
      <c r="AB343" s="1359"/>
      <c r="AC343" s="1359"/>
      <c r="AD343" s="1359"/>
      <c r="AE343" s="1359"/>
      <c r="BN343" t="s">
        <v>694</v>
      </c>
    </row>
    <row r="344" spans="1:66" ht="13" customHeight="1">
      <c r="B344" s="2"/>
      <c r="C344" s="2"/>
      <c r="D344" s="2"/>
      <c r="E344" s="2"/>
      <c r="F344" s="2"/>
      <c r="I344" s="2" t="s">
        <v>1126</v>
      </c>
      <c r="P344" s="1326"/>
      <c r="Q344" s="1326"/>
      <c r="R344" s="1326"/>
      <c r="S344" s="1326"/>
      <c r="T344" s="1326"/>
      <c r="U344" s="1326"/>
      <c r="V344" s="1326"/>
      <c r="W344" s="1326"/>
      <c r="X344" s="1326"/>
      <c r="Y344" s="1326"/>
      <c r="Z344" s="1326"/>
      <c r="AA344" s="1326"/>
      <c r="AB344" s="1326"/>
      <c r="AC344" s="1326"/>
      <c r="AD344" s="1326"/>
      <c r="AE344" s="1326"/>
      <c r="BN344" t="s">
        <v>847</v>
      </c>
    </row>
    <row r="345" spans="1:66" ht="13" customHeight="1">
      <c r="B345" s="2"/>
      <c r="C345" s="2"/>
      <c r="D345" s="2"/>
      <c r="E345" s="2"/>
      <c r="F345" s="2"/>
      <c r="I345" s="2" t="s">
        <v>1131</v>
      </c>
      <c r="P345" s="1326"/>
      <c r="Q345" s="1326"/>
      <c r="R345" s="1326"/>
      <c r="S345" s="1326"/>
      <c r="T345" s="1326"/>
      <c r="U345" s="1326"/>
      <c r="V345" s="1326"/>
      <c r="W345" s="1326"/>
      <c r="X345" s="1326"/>
      <c r="Y345" s="1326"/>
      <c r="Z345" s="1326"/>
      <c r="AA345" s="1326"/>
      <c r="AB345" s="1326"/>
      <c r="AC345" s="1326"/>
      <c r="AD345" s="1326"/>
      <c r="AE345" s="1326"/>
    </row>
    <row r="346" spans="1:66" ht="13" customHeight="1">
      <c r="B346" s="2"/>
      <c r="C346" s="2"/>
      <c r="D346" s="2"/>
      <c r="E346" s="2"/>
      <c r="F346" s="2"/>
      <c r="G346" s="2"/>
      <c r="I346" s="2" t="s">
        <v>1070</v>
      </c>
      <c r="P346" s="1326"/>
      <c r="Q346" s="1326"/>
      <c r="R346" s="1326"/>
      <c r="S346" s="1326"/>
      <c r="T346" s="1326"/>
      <c r="U346" s="1326"/>
      <c r="V346" s="1326"/>
      <c r="W346" s="1326"/>
      <c r="X346" s="1326"/>
      <c r="Y346" s="1326"/>
      <c r="Z346" s="1326"/>
      <c r="AA346" s="1326"/>
      <c r="AB346" s="1326"/>
      <c r="AC346" s="1326"/>
      <c r="AD346" s="1326"/>
      <c r="AE346" s="1326"/>
    </row>
    <row r="347" spans="1:66" ht="13" customHeight="1">
      <c r="B347" s="2"/>
      <c r="C347" s="2"/>
      <c r="D347" s="2"/>
      <c r="E347" s="2"/>
      <c r="F347" s="2"/>
      <c r="G347" s="2"/>
      <c r="H347" s="1042"/>
      <c r="I347" s="2" t="s">
        <v>1072</v>
      </c>
      <c r="P347" s="1439"/>
      <c r="Q347" s="1439"/>
      <c r="R347" s="1439"/>
      <c r="S347" s="1439"/>
      <c r="T347" s="1439"/>
      <c r="U347" s="1439"/>
      <c r="V347" s="1439"/>
      <c r="W347" s="1439"/>
      <c r="X347" s="1439"/>
      <c r="Y347" s="1439"/>
      <c r="Z347" s="1439"/>
      <c r="AA347" s="2" t="s">
        <v>1074</v>
      </c>
      <c r="AB347" s="2"/>
      <c r="AC347" s="1423"/>
      <c r="AD347" s="1423"/>
      <c r="AE347" s="1423"/>
      <c r="AF347" s="1042"/>
      <c r="AG347" s="2"/>
      <c r="AH347" s="2"/>
      <c r="AI347" s="2"/>
      <c r="AJ347" s="2"/>
      <c r="AK347" s="2"/>
    </row>
    <row r="348" spans="1:66" ht="13" customHeight="1">
      <c r="B348" s="2"/>
      <c r="C348" s="2"/>
      <c r="D348" s="2"/>
      <c r="E348" s="2"/>
      <c r="F348" s="2"/>
      <c r="G348" s="2"/>
      <c r="H348" s="1042"/>
      <c r="I348" s="2" t="s">
        <v>1075</v>
      </c>
      <c r="P348" s="1439"/>
      <c r="Q348" s="1439"/>
      <c r="R348" s="1439"/>
      <c r="S348" s="1439"/>
      <c r="T348" s="1439"/>
      <c r="U348" s="1439"/>
      <c r="V348" s="1439"/>
      <c r="W348" s="1439"/>
      <c r="X348" s="1439"/>
      <c r="Y348" s="1439"/>
      <c r="Z348" s="1439"/>
      <c r="AF348" s="1042"/>
      <c r="AG348" s="2"/>
      <c r="AH348" s="2"/>
      <c r="AI348" s="68"/>
      <c r="AJ348" s="68"/>
      <c r="AK348" s="68"/>
    </row>
    <row r="349" spans="1:66" ht="13" customHeight="1">
      <c r="B349" s="2"/>
      <c r="C349" s="2"/>
      <c r="D349" s="2"/>
      <c r="E349" s="2"/>
      <c r="F349" s="2"/>
      <c r="G349" s="2"/>
      <c r="I349" s="2" t="s">
        <v>1135</v>
      </c>
      <c r="P349" s="1359"/>
      <c r="Q349" s="1359"/>
      <c r="R349" s="1359"/>
      <c r="S349" s="1359"/>
      <c r="T349" s="1359"/>
      <c r="U349" s="1359"/>
      <c r="V349" s="1359"/>
      <c r="W349" s="1359"/>
      <c r="X349" s="1359"/>
      <c r="Y349" s="1359"/>
      <c r="Z349" s="1359"/>
      <c r="AA349" s="1359"/>
      <c r="AB349" s="1359"/>
      <c r="AC349" s="1359"/>
      <c r="AD349" s="1359"/>
      <c r="AE349" s="1359"/>
    </row>
    <row r="350" spans="1:66" ht="13" customHeight="1">
      <c r="T350" s="6"/>
      <c r="U350" s="6"/>
      <c r="V350" s="6"/>
      <c r="W350" s="6"/>
      <c r="X350" s="6"/>
      <c r="Y350" s="6"/>
      <c r="Z350" s="6"/>
      <c r="AU350" s="54"/>
      <c r="AV350" s="54"/>
      <c r="AW350" s="54"/>
      <c r="AX350" s="54"/>
      <c r="AY350" s="54"/>
    </row>
    <row r="351" spans="1:66" ht="13" customHeight="1">
      <c r="A351" s="1482" t="s">
        <v>1194</v>
      </c>
      <c r="B351" s="1482"/>
      <c r="C351" s="1482"/>
      <c r="D351" s="1482"/>
      <c r="E351" s="1482"/>
      <c r="F351" s="1482"/>
      <c r="G351" s="1482"/>
      <c r="H351" s="1482"/>
      <c r="I351" s="1482"/>
      <c r="J351" s="1482"/>
      <c r="K351" s="1482"/>
      <c r="L351" s="1482"/>
      <c r="M351" s="1482"/>
      <c r="N351" s="1482"/>
      <c r="O351" s="1482"/>
      <c r="P351" s="1482"/>
      <c r="Q351" s="1482"/>
      <c r="R351" s="1482"/>
      <c r="S351" s="1482"/>
      <c r="T351" s="1482"/>
      <c r="U351" s="1482"/>
      <c r="V351" s="1482"/>
      <c r="W351" s="1482"/>
      <c r="X351" s="1482"/>
      <c r="Y351" s="1482"/>
      <c r="Z351" s="1482"/>
      <c r="AA351" s="1482"/>
      <c r="AB351" s="1482"/>
      <c r="AC351" s="1482"/>
      <c r="AD351" s="1482"/>
      <c r="AE351" s="1482"/>
      <c r="AF351" s="1482"/>
      <c r="AG351" s="1482"/>
      <c r="AH351" s="1482"/>
      <c r="AI351" s="1482"/>
      <c r="AJ351" s="1482"/>
      <c r="AK351" s="1482"/>
      <c r="AL351" s="1482"/>
      <c r="AM351" s="1482"/>
      <c r="AN351" s="1482"/>
      <c r="AO351" s="1482"/>
      <c r="AP351" s="1482"/>
      <c r="AQ351" s="1482"/>
      <c r="AR351" s="1482"/>
      <c r="AS351" s="1482"/>
      <c r="AT351" s="1482"/>
      <c r="AU351" s="54"/>
      <c r="AV351" s="54"/>
      <c r="AW351" s="54"/>
      <c r="AX351" s="54"/>
      <c r="AY351" s="54"/>
    </row>
    <row r="352" spans="1:66" ht="13" customHeight="1">
      <c r="A352" s="1482"/>
      <c r="B352" s="1482"/>
      <c r="C352" s="1482"/>
      <c r="D352" s="1482"/>
      <c r="E352" s="1482"/>
      <c r="F352" s="1482"/>
      <c r="G352" s="1482"/>
      <c r="H352" s="1482"/>
      <c r="I352" s="1482"/>
      <c r="J352" s="1482"/>
      <c r="K352" s="1482"/>
      <c r="L352" s="1482"/>
      <c r="M352" s="1482"/>
      <c r="N352" s="1482"/>
      <c r="O352" s="1482"/>
      <c r="P352" s="1482"/>
      <c r="Q352" s="1482"/>
      <c r="R352" s="1482"/>
      <c r="S352" s="1482"/>
      <c r="T352" s="1482"/>
      <c r="U352" s="1482"/>
      <c r="V352" s="1482"/>
      <c r="W352" s="1482"/>
      <c r="X352" s="1482"/>
      <c r="Y352" s="1482"/>
      <c r="Z352" s="1482"/>
      <c r="AA352" s="1482"/>
      <c r="AB352" s="1482"/>
      <c r="AC352" s="1482"/>
      <c r="AD352" s="1482"/>
      <c r="AE352" s="1482"/>
      <c r="AF352" s="1482"/>
      <c r="AG352" s="1482"/>
      <c r="AH352" s="1482"/>
      <c r="AI352" s="1482"/>
      <c r="AJ352" s="1482"/>
      <c r="AK352" s="1482"/>
      <c r="AL352" s="1482"/>
      <c r="AM352" s="1482"/>
      <c r="AN352" s="1482"/>
      <c r="AO352" s="1482"/>
      <c r="AP352" s="1482"/>
      <c r="AQ352" s="1482"/>
      <c r="AR352" s="1482"/>
      <c r="AS352" s="1482"/>
      <c r="AT352" s="1482"/>
      <c r="AU352" s="19"/>
      <c r="AV352" s="19"/>
      <c r="AW352" s="19"/>
      <c r="AX352" s="19"/>
      <c r="AY352" s="19"/>
    </row>
    <row r="353" spans="1:46" ht="13"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3" customHeight="1">
      <c r="A354" s="1" t="s">
        <v>872</v>
      </c>
      <c r="B354" s="1"/>
      <c r="C354" s="1" t="s">
        <v>1195</v>
      </c>
    </row>
    <row r="355" spans="1:46" ht="13" customHeight="1">
      <c r="D355" s="2" t="s">
        <v>686</v>
      </c>
      <c r="M355" s="1367" t="s">
        <v>847</v>
      </c>
      <c r="N355" s="1367"/>
      <c r="P355" t="s">
        <v>1196</v>
      </c>
      <c r="AJ355" s="1367" t="s">
        <v>798</v>
      </c>
      <c r="AK355" s="1367"/>
    </row>
    <row r="356" spans="1:46" ht="13" customHeight="1">
      <c r="D356" s="2" t="s">
        <v>684</v>
      </c>
      <c r="M356" s="1367" t="s">
        <v>798</v>
      </c>
      <c r="N356" s="1367"/>
      <c r="P356" s="2" t="s">
        <v>1197</v>
      </c>
      <c r="AJ356" s="1337">
        <v>0</v>
      </c>
      <c r="AK356" s="1337"/>
    </row>
    <row r="357" spans="1:46" ht="13" customHeight="1">
      <c r="D357" s="2" t="s">
        <v>1198</v>
      </c>
      <c r="M357" s="1367" t="s">
        <v>798</v>
      </c>
      <c r="N357" s="1367"/>
      <c r="P357" t="s">
        <v>1199</v>
      </c>
      <c r="AJ357" s="1367" t="s">
        <v>798</v>
      </c>
      <c r="AK357" s="1367"/>
    </row>
    <row r="358" spans="1:46" ht="13" customHeight="1">
      <c r="D358" s="2" t="s">
        <v>1200</v>
      </c>
      <c r="M358" s="1367" t="s">
        <v>798</v>
      </c>
      <c r="N358" s="1367"/>
      <c r="Q358" s="2"/>
    </row>
    <row r="359" spans="1:46" ht="13" customHeight="1">
      <c r="Q359" s="2"/>
    </row>
    <row r="360" spans="1:46" ht="13" customHeight="1">
      <c r="Q360" s="2"/>
    </row>
    <row r="361" spans="1:46" ht="13" customHeight="1">
      <c r="A361" s="1" t="s">
        <v>913</v>
      </c>
      <c r="B361" s="1"/>
      <c r="C361" s="1" t="s">
        <v>1201</v>
      </c>
      <c r="D361" s="1"/>
    </row>
    <row r="362" spans="1:46" ht="13" customHeight="1">
      <c r="D362" s="28" t="s">
        <v>1202</v>
      </c>
      <c r="E362" s="1178"/>
      <c r="F362" s="1178"/>
      <c r="G362" s="1178"/>
      <c r="H362" s="1178"/>
      <c r="I362" s="1178"/>
      <c r="J362" s="1178"/>
      <c r="K362" s="1178"/>
      <c r="L362" s="1178"/>
      <c r="M362" s="1178"/>
      <c r="N362" s="1178"/>
      <c r="O362" s="1178"/>
      <c r="P362" s="1178"/>
      <c r="Q362" s="1178"/>
      <c r="R362" s="1178"/>
      <c r="S362" s="1178"/>
      <c r="T362" s="1178"/>
      <c r="U362" s="1178"/>
      <c r="V362" s="1178"/>
      <c r="W362" s="1178"/>
      <c r="X362" s="1178"/>
      <c r="Y362" s="1178"/>
      <c r="Z362" s="1178"/>
      <c r="AA362" s="1178"/>
      <c r="AB362" s="1178"/>
      <c r="AC362" s="1178"/>
      <c r="AD362" s="1178"/>
      <c r="AE362" s="1178"/>
    </row>
    <row r="363" spans="1:46" ht="13" customHeight="1">
      <c r="D363" s="28" t="s">
        <v>1203</v>
      </c>
      <c r="E363" s="1178"/>
      <c r="F363" s="1178"/>
      <c r="G363" s="1178"/>
      <c r="H363" s="1178"/>
      <c r="I363" s="1178"/>
      <c r="J363" s="1178"/>
      <c r="K363" s="1178"/>
      <c r="L363" s="1178"/>
      <c r="M363" s="1178"/>
      <c r="N363" s="1367" t="s">
        <v>798</v>
      </c>
      <c r="O363" s="1367"/>
      <c r="P363" s="1178"/>
      <c r="Q363" s="1178"/>
      <c r="R363" s="1178"/>
      <c r="S363" s="1178"/>
      <c r="T363" s="1178"/>
      <c r="U363" s="1178"/>
      <c r="V363" s="1178"/>
      <c r="W363" s="1178"/>
      <c r="X363" s="1178"/>
      <c r="Y363" s="1178"/>
      <c r="Z363" s="1178"/>
      <c r="AC363" s="1178"/>
      <c r="AD363" s="1178"/>
      <c r="AE363" s="1178"/>
    </row>
    <row r="364" spans="1:46" ht="13" customHeight="1">
      <c r="E364" t="s">
        <v>1204</v>
      </c>
      <c r="Y364" s="1367" t="s">
        <v>798</v>
      </c>
      <c r="Z364" s="1367"/>
    </row>
    <row r="365" spans="1:46" ht="13" customHeight="1">
      <c r="D365" s="2" t="s">
        <v>1205</v>
      </c>
      <c r="Q365" s="1359"/>
      <c r="R365" s="1359"/>
      <c r="S365" s="1359"/>
      <c r="T365" s="1359"/>
      <c r="U365" s="1359"/>
      <c r="V365" s="1359"/>
      <c r="W365" s="1359"/>
      <c r="X365" s="1359"/>
      <c r="Y365" s="1359"/>
      <c r="Z365" s="1359"/>
      <c r="AA365" s="1359"/>
      <c r="AB365" s="1359"/>
      <c r="AC365" s="1359"/>
      <c r="AD365" s="1359"/>
      <c r="AE365" s="1359"/>
      <c r="AF365" s="1359"/>
      <c r="AG365" s="1359"/>
    </row>
    <row r="366" spans="1:46" ht="13" customHeight="1">
      <c r="D366" t="s">
        <v>1206</v>
      </c>
      <c r="E366" s="1178"/>
      <c r="F366" s="1178"/>
      <c r="G366" s="1178"/>
      <c r="H366" s="1178"/>
      <c r="I366" s="1178"/>
      <c r="J366" s="1178"/>
      <c r="K366" s="1178"/>
      <c r="L366" s="1178"/>
      <c r="M366" s="1178"/>
      <c r="N366" s="1178"/>
      <c r="O366" s="1178"/>
      <c r="P366" s="1178"/>
      <c r="Q366" s="1178"/>
      <c r="R366" s="1178"/>
      <c r="S366" s="1178"/>
      <c r="T366" s="1178"/>
      <c r="U366" s="1178"/>
      <c r="V366" s="1178"/>
      <c r="W366" s="1178"/>
      <c r="X366" s="1178"/>
      <c r="Y366" s="1178"/>
      <c r="Z366" s="1178"/>
      <c r="AA366" s="1178"/>
      <c r="AB366" s="1178"/>
      <c r="AC366" s="1178"/>
      <c r="AD366" s="1178"/>
      <c r="AE366" s="1178"/>
    </row>
    <row r="367" spans="1:46" ht="13" customHeight="1">
      <c r="D367" t="s">
        <v>1207</v>
      </c>
      <c r="E367" s="1178"/>
      <c r="F367" s="1178"/>
      <c r="G367" s="1178"/>
      <c r="H367" s="1178"/>
      <c r="I367" s="1178"/>
      <c r="J367" s="1367" t="s">
        <v>798</v>
      </c>
      <c r="K367" s="1367"/>
      <c r="L367" s="1178"/>
      <c r="M367" s="1178"/>
      <c r="N367" s="1178"/>
      <c r="O367" s="1178"/>
      <c r="P367" s="1178"/>
      <c r="Q367" s="1178"/>
      <c r="R367" s="1178"/>
      <c r="S367" s="1178"/>
      <c r="T367" s="1178"/>
      <c r="U367" s="1178"/>
      <c r="V367" s="1178"/>
      <c r="W367" s="1178"/>
      <c r="X367" s="1178"/>
      <c r="Y367" s="1178"/>
      <c r="Z367" s="1178"/>
      <c r="AC367" s="1178"/>
      <c r="AD367" s="1178"/>
      <c r="AE367" s="1178"/>
    </row>
    <row r="368" spans="1:46" ht="13" customHeight="1">
      <c r="E368" s="1221" t="s">
        <v>1208</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 customHeight="1">
      <c r="E370" s="2" t="s">
        <v>1209</v>
      </c>
      <c r="F370" s="2"/>
      <c r="G370" s="2"/>
      <c r="H370" s="2"/>
      <c r="I370" s="2"/>
      <c r="J370" s="2"/>
      <c r="K370" s="2"/>
      <c r="L370" s="2"/>
      <c r="N370" s="1344"/>
      <c r="O370" s="1344"/>
      <c r="P370" s="1344"/>
      <c r="Q370" s="1344"/>
      <c r="R370" s="2"/>
      <c r="U370" s="2" t="s">
        <v>1210</v>
      </c>
      <c r="V370" s="2"/>
      <c r="W370" s="2"/>
      <c r="X370" s="2"/>
      <c r="Y370" s="2"/>
      <c r="Z370" s="2"/>
      <c r="AA370" s="2"/>
      <c r="AB370" s="2"/>
      <c r="AC370" s="1344"/>
      <c r="AD370" s="1344"/>
      <c r="AE370" s="1344"/>
      <c r="AF370" s="1344"/>
    </row>
    <row r="371" spans="1:34" ht="13" customHeight="1">
      <c r="E371" s="2" t="s">
        <v>1211</v>
      </c>
      <c r="F371" s="2"/>
      <c r="G371" s="2"/>
      <c r="H371" s="2"/>
      <c r="I371" s="2"/>
      <c r="J371" s="2"/>
      <c r="K371" s="2"/>
      <c r="L371" s="2"/>
      <c r="N371" s="1344"/>
      <c r="O371" s="1344"/>
      <c r="P371" s="1344"/>
      <c r="Q371" s="1344"/>
      <c r="R371" s="2"/>
      <c r="U371" s="2" t="s">
        <v>1212</v>
      </c>
      <c r="V371" s="2"/>
      <c r="W371" s="2"/>
      <c r="X371" s="2"/>
      <c r="Y371" s="2"/>
      <c r="Z371" s="2"/>
      <c r="AA371" s="2"/>
      <c r="AB371" s="2"/>
      <c r="AC371" s="1344"/>
      <c r="AD371" s="1344"/>
      <c r="AE371" s="1344"/>
      <c r="AF371" s="1344"/>
    </row>
    <row r="372" spans="1:34" ht="13" customHeight="1">
      <c r="E372" s="2" t="s">
        <v>1213</v>
      </c>
      <c r="F372" s="2"/>
      <c r="G372" s="2"/>
      <c r="H372" s="2"/>
      <c r="I372" s="2"/>
      <c r="J372" s="2"/>
      <c r="K372" s="2"/>
      <c r="L372" s="2"/>
      <c r="N372" s="1344"/>
      <c r="O372" s="1344"/>
      <c r="P372" s="1344"/>
      <c r="Q372" s="1344"/>
      <c r="R372" s="2"/>
      <c r="V372" s="2"/>
      <c r="W372" s="2"/>
      <c r="X372" s="2"/>
      <c r="Y372" s="2"/>
      <c r="Z372" s="2"/>
      <c r="AA372" s="2"/>
      <c r="AB372" s="2"/>
    </row>
    <row r="373" spans="1:34" ht="13" customHeight="1">
      <c r="E373" s="2" t="s">
        <v>1214</v>
      </c>
      <c r="F373" s="2"/>
      <c r="G373" s="2"/>
      <c r="H373" s="2"/>
      <c r="I373" s="2"/>
      <c r="J373" s="2"/>
      <c r="K373" s="2"/>
      <c r="L373" s="2"/>
      <c r="N373" s="1475"/>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3" customHeight="1">
      <c r="E374" s="2"/>
      <c r="F374" s="2"/>
      <c r="G374" s="2"/>
      <c r="H374" s="2"/>
      <c r="I374" s="2"/>
      <c r="J374" s="2"/>
      <c r="K374" s="2"/>
      <c r="L374" s="2"/>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3" customHeight="1">
      <c r="C375" s="363"/>
      <c r="E375" s="2"/>
      <c r="F375" s="2"/>
      <c r="G375" s="2"/>
      <c r="H375" s="2"/>
      <c r="I375" s="2"/>
      <c r="J375" s="2"/>
      <c r="K375" s="2"/>
      <c r="L375" s="2"/>
    </row>
    <row r="376" spans="1:34" ht="13" customHeight="1">
      <c r="D376" s="1" t="s">
        <v>1215</v>
      </c>
      <c r="E376" s="1"/>
      <c r="F376" s="2"/>
      <c r="G376" s="2"/>
      <c r="H376" s="2"/>
      <c r="I376" s="2"/>
      <c r="J376" s="2"/>
      <c r="K376" s="2"/>
      <c r="L376" s="2"/>
    </row>
    <row r="377" spans="1:34" ht="13" customHeight="1">
      <c r="E377" s="2" t="s">
        <v>1216</v>
      </c>
      <c r="F377" s="2"/>
      <c r="G377" s="2"/>
      <c r="H377" s="2"/>
      <c r="I377" s="2"/>
      <c r="J377" s="2"/>
      <c r="K377" s="2"/>
      <c r="L377" s="2"/>
      <c r="N377" t="s">
        <v>889</v>
      </c>
      <c r="R377" s="21" t="s">
        <v>890</v>
      </c>
      <c r="S377" s="1395"/>
      <c r="T377" s="1395"/>
      <c r="U377" s="1146" t="s">
        <v>891</v>
      </c>
      <c r="V377" s="1395"/>
      <c r="W377" s="1395"/>
      <c r="Y377" t="s">
        <v>889</v>
      </c>
      <c r="AC377" s="21" t="s">
        <v>890</v>
      </c>
      <c r="AD377" s="1395"/>
      <c r="AE377" s="1395"/>
      <c r="AF377" s="1146" t="s">
        <v>891</v>
      </c>
      <c r="AG377" s="1395"/>
      <c r="AH377" s="1395"/>
    </row>
    <row r="378" spans="1:34" ht="13" customHeight="1">
      <c r="E378" s="2" t="s">
        <v>1217</v>
      </c>
      <c r="F378" s="2"/>
      <c r="G378" s="2"/>
      <c r="H378" s="2"/>
      <c r="I378" s="2"/>
      <c r="J378" s="2"/>
      <c r="K378" s="2"/>
      <c r="L378" s="2"/>
      <c r="N378" s="1395"/>
      <c r="O378" s="1395"/>
      <c r="P378" s="1395"/>
    </row>
    <row r="379" spans="1:34" ht="13" customHeight="1">
      <c r="E379" s="113" t="s">
        <v>1218</v>
      </c>
      <c r="F379" s="2"/>
      <c r="G379" s="2"/>
      <c r="H379" s="2"/>
      <c r="I379" s="2"/>
      <c r="J379" s="2"/>
      <c r="K379" s="2"/>
      <c r="L379" s="2"/>
      <c r="AG379" s="1398" t="s">
        <v>798</v>
      </c>
      <c r="AH379" s="1398"/>
    </row>
    <row r="380" spans="1:34" ht="13" customHeight="1">
      <c r="E380" s="2"/>
      <c r="F380" s="2"/>
      <c r="G380" s="2" t="s">
        <v>1219</v>
      </c>
      <c r="H380" s="2"/>
      <c r="I380" s="2"/>
      <c r="J380" s="2"/>
      <c r="K380" s="2"/>
      <c r="L380" s="2"/>
      <c r="AG380" s="1398" t="s">
        <v>798</v>
      </c>
      <c r="AH380" s="1398"/>
    </row>
    <row r="381" spans="1:34" ht="13" customHeight="1">
      <c r="E381" s="2"/>
      <c r="F381" s="2"/>
      <c r="G381" s="199" t="s">
        <v>1220</v>
      </c>
      <c r="H381" s="2"/>
      <c r="I381" s="2"/>
      <c r="J381" s="2"/>
      <c r="K381" s="2"/>
      <c r="L381" s="2"/>
      <c r="V381" s="1367" t="s">
        <v>798</v>
      </c>
      <c r="W381" s="1367"/>
      <c r="Y381" s="17" t="s">
        <v>1221</v>
      </c>
    </row>
    <row r="382" spans="1:34" ht="13" customHeight="1">
      <c r="E382" s="2" t="s">
        <v>1222</v>
      </c>
      <c r="F382" s="2"/>
      <c r="G382" s="2"/>
      <c r="H382" s="2"/>
      <c r="I382" s="2"/>
      <c r="J382" s="2"/>
      <c r="K382" s="2"/>
      <c r="L382" s="2"/>
      <c r="V382" s="1367" t="s">
        <v>798</v>
      </c>
      <c r="W382" s="1367"/>
      <c r="Y382" s="2" t="s">
        <v>1223</v>
      </c>
    </row>
    <row r="383" spans="1:34" ht="13" customHeight="1"/>
    <row r="384" spans="1:34" ht="13" customHeight="1">
      <c r="A384" s="1" t="s">
        <v>1224</v>
      </c>
      <c r="B384" s="1"/>
    </row>
    <row r="385" spans="4:36" ht="13" customHeight="1">
      <c r="D385" t="s">
        <v>1225</v>
      </c>
      <c r="J385" s="1359" t="s">
        <v>1226</v>
      </c>
      <c r="K385" s="1359"/>
      <c r="L385" s="1359"/>
      <c r="M385" s="1359"/>
      <c r="N385" s="1359"/>
      <c r="O385" s="1359"/>
      <c r="P385" s="1359"/>
      <c r="Q385" s="1359"/>
      <c r="R385" s="1359"/>
      <c r="S385" s="1359"/>
      <c r="T385" s="1359"/>
      <c r="U385" s="1359"/>
      <c r="V385" s="6" t="s">
        <v>1227</v>
      </c>
      <c r="W385" s="6"/>
      <c r="X385" s="6"/>
      <c r="Y385" s="6"/>
      <c r="Z385" s="6"/>
      <c r="AA385" s="6"/>
      <c r="AB385" s="6"/>
      <c r="AC385" s="1359" t="s">
        <v>1228</v>
      </c>
      <c r="AD385" s="1359"/>
      <c r="AE385" s="1359"/>
      <c r="AF385" s="1359"/>
      <c r="AG385" s="1359"/>
      <c r="AH385" s="1359"/>
      <c r="AI385" s="1359"/>
      <c r="AJ385" s="1359"/>
    </row>
    <row r="386" spans="4:36" ht="13" customHeight="1">
      <c r="D386" s="2" t="s">
        <v>1229</v>
      </c>
      <c r="J386" s="1326" t="s">
        <v>1228</v>
      </c>
      <c r="K386" s="1326"/>
      <c r="L386" s="1326"/>
      <c r="M386" s="1326"/>
      <c r="N386" s="1326"/>
      <c r="O386" s="1326"/>
      <c r="P386" s="1326"/>
      <c r="Q386" s="1326"/>
      <c r="R386" s="1326"/>
      <c r="S386" s="1326"/>
      <c r="T386" s="1326"/>
      <c r="U386" s="1326"/>
      <c r="V386" s="2" t="s">
        <v>1229</v>
      </c>
      <c r="W386" s="6"/>
      <c r="X386" s="6"/>
      <c r="Y386" s="6"/>
      <c r="Z386" s="6"/>
      <c r="AA386" s="6"/>
      <c r="AB386" s="6"/>
      <c r="AC386" s="1359"/>
      <c r="AD386" s="1359"/>
      <c r="AE386" s="1359"/>
      <c r="AF386" s="1359"/>
      <c r="AG386" s="1359"/>
      <c r="AH386" s="1359"/>
      <c r="AI386" s="1359"/>
      <c r="AJ386" s="1359"/>
    </row>
    <row r="387" spans="4:36" ht="13" customHeight="1">
      <c r="D387" s="2" t="s">
        <v>810</v>
      </c>
      <c r="J387" s="1326"/>
      <c r="K387" s="1326"/>
      <c r="L387" s="1326"/>
      <c r="M387" s="1326"/>
      <c r="N387" s="1326"/>
      <c r="O387" s="1326"/>
      <c r="P387" s="1326"/>
      <c r="Q387" s="1326"/>
      <c r="R387" s="1326"/>
      <c r="S387" s="1326"/>
      <c r="T387" s="1326"/>
      <c r="U387" s="1326"/>
      <c r="V387" s="2" t="s">
        <v>810</v>
      </c>
      <c r="W387" s="6"/>
      <c r="X387" s="6"/>
      <c r="Y387" s="6"/>
      <c r="Z387" s="6"/>
      <c r="AA387" s="6"/>
      <c r="AB387" s="6"/>
      <c r="AC387" s="1359"/>
      <c r="AD387" s="1359"/>
      <c r="AE387" s="1359"/>
      <c r="AF387" s="1359"/>
      <c r="AG387" s="1359"/>
      <c r="AH387" s="1359"/>
      <c r="AI387" s="1359"/>
      <c r="AJ387" s="1359"/>
    </row>
    <row r="388" spans="4:36" ht="13" customHeight="1">
      <c r="D388" t="s">
        <v>1230</v>
      </c>
      <c r="J388" s="1379"/>
      <c r="K388" s="1379"/>
      <c r="L388" s="1379"/>
      <c r="M388" s="1379"/>
      <c r="N388" s="1379"/>
      <c r="O388" s="1379"/>
      <c r="P388" s="1379"/>
      <c r="Q388" s="1379"/>
      <c r="R388" s="1379"/>
      <c r="S388" s="1379"/>
      <c r="T388" s="1379"/>
      <c r="U388" s="1379"/>
      <c r="V388" s="1359"/>
      <c r="W388" s="1359"/>
      <c r="X388" s="1359"/>
      <c r="Y388" s="1359"/>
      <c r="Z388" s="1359"/>
      <c r="AA388" s="1359"/>
      <c r="AB388" s="1359"/>
      <c r="AC388" s="1359"/>
      <c r="AD388" s="1359"/>
      <c r="AE388" s="1359"/>
      <c r="AF388" s="1359"/>
      <c r="AG388" s="1359"/>
      <c r="AH388" s="1359"/>
      <c r="AI388" s="1359"/>
      <c r="AJ388" s="1359"/>
    </row>
    <row r="389" spans="4:36" ht="13" customHeight="1">
      <c r="D389" t="s">
        <v>1231</v>
      </c>
      <c r="Q389" s="1530">
        <v>45202</v>
      </c>
      <c r="R389" s="1530"/>
      <c r="S389" s="1530"/>
      <c r="T389" s="1530"/>
      <c r="U389" s="1530"/>
      <c r="V389" t="s">
        <v>1232</v>
      </c>
      <c r="AI389" s="1367" t="s">
        <v>694</v>
      </c>
      <c r="AJ389" s="1367"/>
    </row>
    <row r="390" spans="4:36" ht="13" customHeight="1">
      <c r="D390" t="s">
        <v>1233</v>
      </c>
      <c r="Q390" s="1470" t="s">
        <v>1234</v>
      </c>
      <c r="R390" s="1471"/>
      <c r="S390" s="1471"/>
      <c r="T390" s="1471"/>
      <c r="U390" s="1471"/>
      <c r="W390" s="16" t="s">
        <v>1235</v>
      </c>
      <c r="AG390" s="1400"/>
      <c r="AH390" s="1400"/>
      <c r="AI390" s="1400"/>
      <c r="AJ390" s="1400"/>
    </row>
    <row r="391" spans="4:36" ht="13" customHeight="1">
      <c r="D391" t="s">
        <v>1236</v>
      </c>
      <c r="Q391" s="1401">
        <v>1441000</v>
      </c>
      <c r="R391" s="1401"/>
      <c r="S391" s="1401"/>
      <c r="T391" s="1401"/>
      <c r="U391" s="1401"/>
      <c r="V391" s="2" t="s">
        <v>1237</v>
      </c>
      <c r="AG391" s="1468"/>
      <c r="AH391" s="1468"/>
      <c r="AI391" s="1468"/>
      <c r="AJ391" s="1468"/>
    </row>
    <row r="392" spans="4:36" ht="13" customHeight="1">
      <c r="D392" t="s">
        <v>1072</v>
      </c>
      <c r="I392" s="1489"/>
      <c r="J392" s="1489"/>
      <c r="K392" s="1489"/>
      <c r="L392" s="1489"/>
      <c r="M392" s="1489"/>
      <c r="N392" s="1489"/>
      <c r="Q392" s="2" t="s">
        <v>1074</v>
      </c>
      <c r="S392" s="1399"/>
      <c r="T392" s="1399"/>
      <c r="U392" s="1399"/>
      <c r="V392" t="s">
        <v>1238</v>
      </c>
      <c r="AI392" s="1367" t="s">
        <v>694</v>
      </c>
      <c r="AJ392" s="1367"/>
    </row>
    <row r="393" spans="4:36" ht="13" customHeight="1">
      <c r="D393" t="s">
        <v>1239</v>
      </c>
      <c r="Q393" s="1474"/>
      <c r="R393" s="1474"/>
      <c r="S393" s="1474"/>
      <c r="T393" s="1474"/>
      <c r="U393" s="1474"/>
      <c r="V393" t="s">
        <v>1240</v>
      </c>
      <c r="AG393" s="1400"/>
      <c r="AH393" s="1400"/>
      <c r="AI393" s="1400"/>
      <c r="AJ393" s="1400"/>
    </row>
    <row r="394" spans="4:36" ht="13" customHeight="1">
      <c r="D394" t="s">
        <v>1241</v>
      </c>
      <c r="Q394" s="1520"/>
      <c r="R394" s="1520"/>
      <c r="S394" s="1520"/>
      <c r="T394" s="1520"/>
      <c r="U394" s="1520"/>
      <c r="V394" t="s">
        <v>1242</v>
      </c>
      <c r="AG394" s="1400"/>
      <c r="AH394" s="1400"/>
      <c r="AI394" s="1400"/>
      <c r="AJ394" s="1400"/>
    </row>
    <row r="395" spans="4:36" ht="13" customHeight="1">
      <c r="D395" t="s">
        <v>1243</v>
      </c>
      <c r="AG395" s="1400"/>
      <c r="AH395" s="1400"/>
      <c r="AI395" s="1400"/>
      <c r="AJ395" s="1400"/>
    </row>
    <row r="396" spans="4:36" ht="13" customHeight="1">
      <c r="AG396" s="1043"/>
      <c r="AH396" s="1043"/>
      <c r="AI396" s="1043"/>
      <c r="AJ396" s="1043"/>
    </row>
    <row r="397" spans="4:36" ht="13" customHeight="1">
      <c r="D397" s="2" t="s">
        <v>1244</v>
      </c>
      <c r="AG397" s="1043"/>
      <c r="AH397" s="1043"/>
      <c r="AI397" s="1367" t="s">
        <v>694</v>
      </c>
      <c r="AJ397" s="1367"/>
    </row>
    <row r="398" spans="4:36" ht="13" customHeight="1">
      <c r="D398" s="2" t="s">
        <v>1245</v>
      </c>
      <c r="T398" s="1386"/>
      <c r="U398" s="1386"/>
      <c r="V398" s="1386"/>
      <c r="W398" s="1386"/>
      <c r="X398" s="1386"/>
      <c r="Y398" s="1386"/>
      <c r="Z398" s="1386"/>
      <c r="AA398" s="1386"/>
      <c r="AB398" s="1386"/>
      <c r="AC398" s="1386"/>
      <c r="AD398" s="1386"/>
      <c r="AE398" s="1386"/>
      <c r="AF398" s="1386"/>
      <c r="AG398" s="1386"/>
      <c r="AH398" s="1386"/>
      <c r="AI398" s="1386"/>
      <c r="AJ398" s="1386"/>
    </row>
    <row r="399" spans="4:36" ht="13" customHeight="1">
      <c r="D399" s="2" t="s">
        <v>1246</v>
      </c>
      <c r="T399" s="1386"/>
      <c r="U399" s="1386"/>
      <c r="V399" s="1386"/>
      <c r="W399" s="1386"/>
      <c r="X399" s="1386"/>
      <c r="Y399" s="1386"/>
      <c r="Z399" s="1386"/>
      <c r="AA399" s="1386"/>
      <c r="AB399" s="1386"/>
      <c r="AC399" s="1386"/>
      <c r="AD399" s="1386"/>
      <c r="AE399" s="1386"/>
      <c r="AF399" s="1386"/>
      <c r="AG399" s="1386"/>
      <c r="AH399" s="1386"/>
      <c r="AI399" s="1386"/>
      <c r="AJ399" s="1386"/>
    </row>
    <row r="400" spans="4:36" ht="13" customHeight="1">
      <c r="AG400" s="1043"/>
      <c r="AH400" s="1043"/>
      <c r="AI400" s="1043"/>
      <c r="AJ400" s="1043"/>
    </row>
    <row r="401" spans="1:36" ht="13" customHeight="1">
      <c r="D401" s="2" t="s">
        <v>1247</v>
      </c>
      <c r="S401" s="1386" t="s">
        <v>694</v>
      </c>
      <c r="T401" s="1386"/>
      <c r="U401" s="1386"/>
      <c r="V401" t="s">
        <v>1248</v>
      </c>
      <c r="AG401" s="1473"/>
      <c r="AH401" s="1473"/>
      <c r="AI401" s="1473"/>
      <c r="AJ401" s="1473"/>
    </row>
    <row r="402" spans="1:36" ht="13" customHeight="1">
      <c r="D402" s="2" t="s">
        <v>1249</v>
      </c>
      <c r="S402" s="1386" t="s">
        <v>798</v>
      </c>
      <c r="T402" s="1386"/>
      <c r="U402" s="1386"/>
      <c r="V402" t="s">
        <v>1250</v>
      </c>
      <c r="AE402" s="1467"/>
      <c r="AF402" s="1467"/>
      <c r="AG402" s="1467"/>
      <c r="AH402" s="1467"/>
      <c r="AI402" s="1467"/>
      <c r="AJ402" s="1467"/>
    </row>
    <row r="403" spans="1:36" ht="13" customHeight="1">
      <c r="D403" s="2" t="s">
        <v>1251</v>
      </c>
      <c r="K403" s="1469"/>
      <c r="L403" s="1469"/>
      <c r="M403" s="1469"/>
      <c r="N403" s="1469"/>
      <c r="O403" s="1469"/>
      <c r="P403" s="1469"/>
      <c r="Q403" s="1469"/>
      <c r="R403" s="1469"/>
      <c r="S403" s="1469"/>
      <c r="T403" s="1469"/>
      <c r="U403" s="1469"/>
      <c r="V403" s="1469"/>
      <c r="W403" s="1469"/>
      <c r="X403" s="1469"/>
      <c r="Y403" s="1469"/>
      <c r="Z403" s="1469"/>
      <c r="AA403" s="1469"/>
      <c r="AB403" s="1469"/>
      <c r="AC403" s="1469"/>
      <c r="AD403" s="1469"/>
      <c r="AE403" s="1469"/>
      <c r="AF403" s="1469"/>
      <c r="AG403" s="1469"/>
      <c r="AH403" s="1469"/>
      <c r="AI403" s="1469"/>
      <c r="AJ403" s="1469"/>
    </row>
    <row r="404" spans="1:36" ht="13" customHeight="1">
      <c r="D404" s="2" t="s">
        <v>1252</v>
      </c>
      <c r="K404" s="1469"/>
      <c r="L404" s="1469"/>
      <c r="M404" s="1469"/>
      <c r="N404" s="1469"/>
      <c r="O404" s="1469"/>
      <c r="P404" s="1469"/>
      <c r="Q404" s="1469"/>
      <c r="R404" s="1469"/>
      <c r="S404" s="1469"/>
      <c r="T404" s="1469"/>
      <c r="U404" s="1469"/>
      <c r="V404" s="1469"/>
      <c r="W404" s="1469"/>
      <c r="X404" s="1469"/>
      <c r="Y404" s="1469"/>
      <c r="Z404" s="1469"/>
      <c r="AA404" s="1469"/>
      <c r="AB404" s="1469"/>
      <c r="AC404" s="1469"/>
      <c r="AD404" s="1469"/>
      <c r="AE404" s="1469"/>
      <c r="AF404" s="1469"/>
      <c r="AG404" s="1469"/>
      <c r="AH404" s="1469"/>
      <c r="AI404" s="1469"/>
      <c r="AJ404" s="1469"/>
    </row>
    <row r="405" spans="1:36" ht="13" customHeight="1">
      <c r="D405" s="2" t="s">
        <v>1253</v>
      </c>
      <c r="E405" s="1153"/>
      <c r="F405" s="1153"/>
      <c r="G405" s="1153"/>
      <c r="H405" s="1153"/>
      <c r="I405" s="1153"/>
      <c r="J405" s="1153"/>
      <c r="K405" s="1153"/>
      <c r="L405" s="1153"/>
      <c r="M405" s="1153"/>
      <c r="N405" s="1153"/>
      <c r="O405" s="1153"/>
      <c r="P405" s="1153"/>
      <c r="Q405" s="1153"/>
      <c r="R405" s="1153"/>
      <c r="S405" s="1397" t="s">
        <v>1003</v>
      </c>
      <c r="T405" s="1397"/>
      <c r="U405" s="1397"/>
      <c r="V405" s="1397"/>
      <c r="W405" s="1397"/>
      <c r="X405" s="1397"/>
      <c r="Y405" s="1397"/>
      <c r="Z405" s="1397"/>
      <c r="AA405" s="1397"/>
      <c r="AB405" s="1397"/>
      <c r="AC405" s="1397"/>
      <c r="AD405" s="1397"/>
      <c r="AE405" s="1397"/>
      <c r="AF405" s="1397"/>
      <c r="AG405" s="1397"/>
      <c r="AH405" s="1397"/>
      <c r="AI405" s="1397"/>
      <c r="AJ405" s="1397"/>
    </row>
    <row r="406" spans="1:36" ht="13" customHeight="1">
      <c r="D406" s="1227" t="s">
        <v>1254</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 customHeight="1">
      <c r="AG408" s="1043"/>
      <c r="AH408" s="1043"/>
      <c r="AI408" s="1043"/>
      <c r="AJ408" s="1043"/>
    </row>
    <row r="409" spans="1:36" ht="13" customHeight="1">
      <c r="A409" s="1" t="s">
        <v>1010</v>
      </c>
      <c r="B409" s="1"/>
      <c r="C409" s="1" t="s">
        <v>145</v>
      </c>
    </row>
    <row r="410" spans="1:36" ht="13" customHeight="1">
      <c r="B410" s="1"/>
      <c r="C410" s="1"/>
      <c r="D410" s="1" t="s">
        <v>1255</v>
      </c>
      <c r="I410" s="1472" t="s">
        <v>1256</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3" customHeight="1">
      <c r="E411" t="s">
        <v>1257</v>
      </c>
      <c r="R411" s="1367" t="s">
        <v>798</v>
      </c>
      <c r="S411" s="1367"/>
      <c r="AC411" s="21" t="s">
        <v>1258</v>
      </c>
      <c r="AD411" s="1344"/>
      <c r="AE411" s="1344"/>
    </row>
    <row r="412" spans="1:36" ht="13" customHeight="1">
      <c r="E412" t="s">
        <v>1259</v>
      </c>
      <c r="R412" s="1367" t="s">
        <v>847</v>
      </c>
      <c r="S412" s="1367"/>
      <c r="AC412" s="21" t="s">
        <v>1258</v>
      </c>
      <c r="AD412" s="1344">
        <v>3</v>
      </c>
      <c r="AE412" s="1344"/>
    </row>
    <row r="413" spans="1:36" ht="13" customHeight="1">
      <c r="E413" t="s">
        <v>1260</v>
      </c>
      <c r="S413" s="1367" t="s">
        <v>798</v>
      </c>
      <c r="T413" s="1367"/>
    </row>
    <row r="414" spans="1:36" ht="13" customHeight="1">
      <c r="E414" t="s">
        <v>233</v>
      </c>
      <c r="H414" s="1521" t="s">
        <v>1261</v>
      </c>
      <c r="I414" s="1521"/>
      <c r="J414" s="1521"/>
      <c r="K414" s="1521"/>
      <c r="L414" s="1521"/>
      <c r="M414" s="1521"/>
      <c r="N414" s="1521"/>
      <c r="O414" s="1521"/>
      <c r="P414" s="1521"/>
      <c r="Q414" s="1521"/>
      <c r="R414" s="1521"/>
      <c r="S414" s="1521"/>
      <c r="T414" s="1521"/>
      <c r="U414" s="1521"/>
      <c r="V414" s="1521"/>
      <c r="W414" s="1521"/>
      <c r="X414" s="1521"/>
      <c r="Y414" s="1521"/>
      <c r="Z414" s="1521"/>
      <c r="AA414" s="1521"/>
      <c r="AB414" s="1521"/>
      <c r="AC414" s="1521"/>
      <c r="AD414" s="1521"/>
      <c r="AE414" s="1521"/>
    </row>
    <row r="415" spans="1:36" ht="13" customHeight="1">
      <c r="H415" s="1522"/>
      <c r="I415" s="1522"/>
      <c r="J415" s="1522"/>
      <c r="K415" s="1522"/>
      <c r="L415" s="1522"/>
      <c r="M415" s="1522"/>
      <c r="N415" s="1522"/>
      <c r="O415" s="1522"/>
      <c r="P415" s="1522"/>
      <c r="Q415" s="1522"/>
      <c r="R415" s="1522"/>
      <c r="S415" s="1522"/>
      <c r="T415" s="1522"/>
      <c r="U415" s="1522"/>
      <c r="V415" s="1522"/>
      <c r="W415" s="1522"/>
      <c r="X415" s="1522"/>
      <c r="Y415" s="1522"/>
      <c r="Z415" s="1522"/>
      <c r="AA415" s="1522"/>
      <c r="AB415" s="1522"/>
      <c r="AC415" s="1522"/>
      <c r="AD415" s="1522"/>
      <c r="AE415" s="1522"/>
    </row>
    <row r="416" spans="1:36" ht="13" customHeight="1"/>
    <row r="417" spans="1:39" ht="13" customHeight="1">
      <c r="A417" s="1" t="s">
        <v>1022</v>
      </c>
      <c r="B417" s="1"/>
      <c r="C417" s="1"/>
      <c r="D417" s="1" t="s">
        <v>150</v>
      </c>
      <c r="AF417" s="1" t="s">
        <v>1262</v>
      </c>
    </row>
    <row r="418" spans="1:39" ht="13" customHeight="1">
      <c r="E418" s="1395"/>
      <c r="F418" s="1395"/>
      <c r="G418" s="1395"/>
      <c r="H418" s="1149" t="s">
        <v>1263</v>
      </c>
      <c r="I418" s="1395"/>
      <c r="J418" s="1395"/>
      <c r="K418" s="1395"/>
      <c r="L418" t="s">
        <v>1264</v>
      </c>
      <c r="N418" s="21" t="s">
        <v>36</v>
      </c>
      <c r="P418" s="1524">
        <v>3.42</v>
      </c>
      <c r="Q418" s="1524"/>
      <c r="R418" s="1524"/>
      <c r="S418" t="s">
        <v>1265</v>
      </c>
      <c r="W418" s="1396">
        <f>IF(E418&gt;0,(E418*I418),(P418*43560))</f>
        <v>148975.19999999998</v>
      </c>
      <c r="X418" s="1396"/>
      <c r="Y418" s="1396"/>
      <c r="Z418" t="s">
        <v>1266</v>
      </c>
      <c r="AF418" s="1525">
        <f>IFERROR(IF(P418&gt;0,(AG437/P418),(AG437/(W418/43560))),0)</f>
        <v>15.497076023391813</v>
      </c>
      <c r="AG418" s="1525"/>
      <c r="AH418" s="1525"/>
      <c r="AM418" s="2"/>
    </row>
    <row r="419" spans="1:39" ht="13" customHeight="1">
      <c r="E419" t="s">
        <v>1267</v>
      </c>
    </row>
    <row r="420" spans="1:39" ht="13" customHeight="1">
      <c r="E420" s="1454"/>
      <c r="F420" s="1454"/>
      <c r="G420" s="1454"/>
      <c r="H420" s="1454"/>
      <c r="I420" s="1454"/>
      <c r="J420" s="1454"/>
      <c r="K420" s="1454"/>
      <c r="L420" s="1454"/>
      <c r="M420" s="1454"/>
      <c r="N420" s="1454"/>
      <c r="O420" s="1454"/>
      <c r="P420" s="1454"/>
      <c r="Q420" s="1454"/>
      <c r="R420" s="1454"/>
      <c r="S420" s="1454"/>
      <c r="T420" s="1454"/>
      <c r="U420" s="1454"/>
      <c r="V420" s="1454"/>
      <c r="W420" s="1454"/>
      <c r="X420" s="1454"/>
      <c r="Y420" s="1454"/>
      <c r="Z420" s="1454"/>
      <c r="AA420" s="1454"/>
      <c r="AB420" s="1454"/>
      <c r="AC420" s="1454"/>
      <c r="AD420" s="1454"/>
      <c r="AE420" s="1454"/>
      <c r="AF420" s="1454"/>
      <c r="AG420" s="1454"/>
      <c r="AH420" s="1454"/>
      <c r="AI420" s="1454"/>
      <c r="AJ420" s="1454"/>
    </row>
    <row r="421" spans="1:39" ht="13" customHeight="1">
      <c r="E421" s="68" t="s">
        <v>1268</v>
      </c>
      <c r="F421" s="16"/>
      <c r="G421" s="16"/>
      <c r="H421" s="16"/>
      <c r="I421" s="1523">
        <v>3.42</v>
      </c>
      <c r="J421" s="1523"/>
      <c r="K421" s="1523"/>
      <c r="L421" s="16"/>
      <c r="M421" s="68"/>
      <c r="N421" s="16"/>
      <c r="O421" s="16"/>
      <c r="P421" s="1766">
        <f>(DU755+DU778+DU800)/I421</f>
        <v>35.964912280701753</v>
      </c>
      <c r="Q421" s="1766"/>
      <c r="R421" s="1766"/>
      <c r="S421" s="68" t="s">
        <v>1269</v>
      </c>
      <c r="T421" s="16"/>
      <c r="U421" s="16"/>
      <c r="V421" s="16"/>
      <c r="W421" s="16"/>
      <c r="X421" s="16"/>
      <c r="Y421" s="16"/>
      <c r="Z421" s="16"/>
      <c r="AA421" s="16"/>
      <c r="AB421" s="16"/>
      <c r="AC421" s="16"/>
      <c r="AD421" s="16"/>
      <c r="AE421" s="16"/>
      <c r="AF421" s="16"/>
      <c r="AG421" s="16"/>
      <c r="AH421" s="16"/>
      <c r="AI421" s="16"/>
      <c r="AJ421" s="16"/>
    </row>
    <row r="422" spans="1:39" ht="13" customHeight="1"/>
    <row r="423" spans="1:39" ht="13" customHeight="1">
      <c r="A423" s="1" t="s">
        <v>1049</v>
      </c>
      <c r="B423" s="1"/>
      <c r="C423" s="1"/>
      <c r="D423" s="1" t="s">
        <v>152</v>
      </c>
    </row>
    <row r="424" spans="1:39" ht="13" customHeight="1">
      <c r="E424" t="s">
        <v>1270</v>
      </c>
      <c r="P424" s="1367">
        <v>1</v>
      </c>
      <c r="Q424" s="1367"/>
      <c r="S424" t="s">
        <v>1271</v>
      </c>
      <c r="AE424" s="1367">
        <v>1</v>
      </c>
      <c r="AF424" s="1367"/>
    </row>
    <row r="425" spans="1:39" ht="13" customHeight="1">
      <c r="E425" t="s">
        <v>1272</v>
      </c>
      <c r="P425" s="1367">
        <v>0</v>
      </c>
      <c r="Q425" s="1367"/>
      <c r="S425" t="s">
        <v>1273</v>
      </c>
      <c r="AE425" s="1367" t="s">
        <v>798</v>
      </c>
      <c r="AF425" s="1367"/>
    </row>
    <row r="426" spans="1:39" ht="13" customHeight="1">
      <c r="F426" s="17" t="s">
        <v>1274</v>
      </c>
    </row>
    <row r="427" spans="1:39" ht="13"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3"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3" customHeight="1">
      <c r="E429" t="s">
        <v>1275</v>
      </c>
      <c r="P429" s="1146"/>
      <c r="Q429" s="1367" t="s">
        <v>847</v>
      </c>
      <c r="R429" s="1367"/>
    </row>
    <row r="430" spans="1:39" ht="13" customHeight="1">
      <c r="F430" t="s">
        <v>1276</v>
      </c>
      <c r="P430" s="1146"/>
      <c r="Q430" s="1146"/>
      <c r="AF430" s="1367" t="s">
        <v>798</v>
      </c>
      <c r="AG430" s="1456"/>
    </row>
    <row r="431" spans="1:39" ht="13" customHeight="1"/>
    <row r="432" spans="1:39" ht="13" customHeight="1">
      <c r="A432" s="1"/>
      <c r="B432" s="1"/>
      <c r="C432" s="1"/>
      <c r="E432" s="2" t="s">
        <v>1277</v>
      </c>
      <c r="Z432" s="1367" t="s">
        <v>694</v>
      </c>
      <c r="AA432" s="1367"/>
    </row>
    <row r="433" spans="1:55" ht="13" customHeight="1">
      <c r="F433" s="28" t="s">
        <v>1278</v>
      </c>
      <c r="G433" s="1178"/>
      <c r="H433" s="1178"/>
      <c r="I433" s="1178"/>
      <c r="J433" s="1178"/>
      <c r="K433" s="1178"/>
      <c r="L433" s="1178"/>
      <c r="M433" s="1178"/>
      <c r="N433" s="1178"/>
      <c r="O433" s="1178"/>
      <c r="P433" s="1178"/>
      <c r="Q433" s="1178"/>
      <c r="R433" s="1178"/>
      <c r="S433" s="1178"/>
      <c r="T433" s="1178"/>
      <c r="U433" s="1178"/>
      <c r="V433" s="1178"/>
      <c r="W433" s="1178"/>
      <c r="AB433" s="1178"/>
    </row>
    <row r="434" spans="1:55" ht="13" customHeight="1">
      <c r="F434" t="s">
        <v>1279</v>
      </c>
      <c r="G434" s="1178"/>
      <c r="I434" s="1178"/>
      <c r="J434" s="1178"/>
      <c r="K434" s="1178"/>
      <c r="L434" s="1178"/>
      <c r="M434" s="1178"/>
      <c r="N434" s="1178"/>
      <c r="O434" s="17"/>
      <c r="P434" s="1178"/>
      <c r="Q434" s="1178"/>
      <c r="R434" s="1178"/>
      <c r="S434" s="1178"/>
      <c r="T434" s="1178"/>
      <c r="U434" s="1178"/>
      <c r="V434" s="1178"/>
      <c r="W434" s="1178"/>
      <c r="Z434" s="1367" t="s">
        <v>798</v>
      </c>
      <c r="AA434" s="1367"/>
    </row>
    <row r="435" spans="1:55" ht="13" customHeight="1"/>
    <row r="436" spans="1:55" ht="13" customHeight="1">
      <c r="A436" s="1" t="s">
        <v>1112</v>
      </c>
      <c r="B436" s="1"/>
      <c r="C436" s="1"/>
      <c r="D436" s="1" t="s">
        <v>159</v>
      </c>
      <c r="AF436" s="32"/>
    </row>
    <row r="437" spans="1:55" ht="13" customHeight="1">
      <c r="D437" s="1455" t="s">
        <v>1280</v>
      </c>
      <c r="E437" s="1393"/>
      <c r="F437" s="1393"/>
      <c r="G437" s="1393"/>
      <c r="H437" s="1393"/>
      <c r="I437" s="1393"/>
      <c r="J437" s="1393"/>
      <c r="K437" s="1393"/>
      <c r="L437" s="1393"/>
      <c r="M437" s="1393"/>
      <c r="N437" s="1393"/>
      <c r="O437" s="1393"/>
      <c r="P437" s="1393"/>
      <c r="Q437" s="1393"/>
      <c r="R437" s="1393"/>
      <c r="S437" s="1393"/>
      <c r="T437" s="1393"/>
      <c r="U437" s="1393"/>
      <c r="V437" s="1393"/>
      <c r="W437" s="1393"/>
      <c r="X437" s="1393"/>
      <c r="Y437" s="1393"/>
      <c r="Z437" s="1393"/>
      <c r="AA437" s="1393"/>
      <c r="AB437" s="1393"/>
      <c r="AC437" s="1393"/>
      <c r="AD437" s="1393"/>
      <c r="AE437" s="1393"/>
      <c r="AF437" s="1394"/>
      <c r="AG437" s="1339">
        <v>53</v>
      </c>
      <c r="AH437" s="1339"/>
      <c r="AI437" s="1339"/>
      <c r="AJ437" s="1339"/>
    </row>
    <row r="438" spans="1:55" ht="13" customHeight="1">
      <c r="D438" s="1370" t="s">
        <v>1281</v>
      </c>
      <c r="E438" s="1371"/>
      <c r="F438" s="1371"/>
      <c r="G438" s="1371"/>
      <c r="H438" s="1371"/>
      <c r="I438" s="1371"/>
      <c r="J438" s="1371"/>
      <c r="K438" s="1371"/>
      <c r="L438" s="1371"/>
      <c r="M438" s="1371"/>
      <c r="N438" s="1371"/>
      <c r="O438" s="1371"/>
      <c r="P438" s="1371"/>
      <c r="Q438" s="1371"/>
      <c r="R438" s="1371"/>
      <c r="S438" s="1371"/>
      <c r="T438" s="1371"/>
      <c r="U438" s="1371"/>
      <c r="V438" s="1371"/>
      <c r="W438" s="1371"/>
      <c r="X438" s="1371"/>
      <c r="Y438" s="1371"/>
      <c r="Z438" s="1371"/>
      <c r="AA438" s="1371"/>
      <c r="AB438" s="1371"/>
      <c r="AC438" s="1371"/>
      <c r="AD438" s="1371"/>
      <c r="AE438" s="1371"/>
      <c r="AF438" s="1372"/>
      <c r="AG438" s="1415">
        <v>0</v>
      </c>
      <c r="AH438" s="1416"/>
      <c r="AI438" s="1416"/>
      <c r="AJ438" s="1416"/>
    </row>
    <row r="439" spans="1:55" ht="13" customHeight="1">
      <c r="D439" s="1370" t="s">
        <v>1282</v>
      </c>
      <c r="E439" s="1371"/>
      <c r="F439" s="1371"/>
      <c r="G439" s="1371"/>
      <c r="H439" s="1371"/>
      <c r="I439" s="1371"/>
      <c r="J439" s="1371"/>
      <c r="K439" s="1371"/>
      <c r="L439" s="1371"/>
      <c r="M439" s="1371"/>
      <c r="N439" s="1371"/>
      <c r="O439" s="1371"/>
      <c r="P439" s="1371"/>
      <c r="Q439" s="1371"/>
      <c r="R439" s="1371"/>
      <c r="S439" s="1371"/>
      <c r="T439" s="1371"/>
      <c r="U439" s="1371"/>
      <c r="V439" s="1371"/>
      <c r="W439" s="1371"/>
      <c r="X439" s="1371"/>
      <c r="Y439" s="1371"/>
      <c r="Z439" s="1371"/>
      <c r="AA439" s="1371"/>
      <c r="AB439" s="1371"/>
      <c r="AC439" s="1371"/>
      <c r="AD439" s="1371"/>
      <c r="AE439" s="1371"/>
      <c r="AF439" s="1372"/>
      <c r="AG439" s="1339">
        <v>52</v>
      </c>
      <c r="AH439" s="1339"/>
      <c r="AI439" s="1339"/>
      <c r="AJ439" s="1339"/>
    </row>
    <row r="440" spans="1:55" ht="13" customHeight="1">
      <c r="D440" s="1370" t="s">
        <v>1283</v>
      </c>
      <c r="E440" s="1371"/>
      <c r="F440" s="1371"/>
      <c r="G440" s="1371"/>
      <c r="H440" s="1371"/>
      <c r="I440" s="1371"/>
      <c r="J440" s="1371"/>
      <c r="K440" s="1371"/>
      <c r="L440" s="1371"/>
      <c r="M440" s="1371"/>
      <c r="N440" s="1371"/>
      <c r="O440" s="1371"/>
      <c r="P440" s="1371"/>
      <c r="Q440" s="1371"/>
      <c r="R440" s="1371"/>
      <c r="S440" s="1371"/>
      <c r="T440" s="1371"/>
      <c r="U440" s="1371"/>
      <c r="V440" s="1371"/>
      <c r="W440" s="1371"/>
      <c r="X440" s="1371"/>
      <c r="Y440" s="1371"/>
      <c r="Z440" s="1371"/>
      <c r="AA440" s="1371"/>
      <c r="AB440" s="1371"/>
      <c r="AC440" s="1371"/>
      <c r="AD440" s="1371"/>
      <c r="AE440" s="1371"/>
      <c r="AF440" s="1372"/>
      <c r="AG440" s="1339">
        <v>52</v>
      </c>
      <c r="AH440" s="1339"/>
      <c r="AI440" s="1339"/>
      <c r="AJ440" s="1339"/>
    </row>
    <row r="441" spans="1:55" ht="13" customHeight="1">
      <c r="D441" s="1370" t="s">
        <v>1284</v>
      </c>
      <c r="E441" s="1371"/>
      <c r="F441" s="1371"/>
      <c r="G441" s="1371"/>
      <c r="H441" s="1371"/>
      <c r="I441" s="1371"/>
      <c r="J441" s="1371"/>
      <c r="K441" s="1371"/>
      <c r="L441" s="1371"/>
      <c r="M441" s="1371"/>
      <c r="N441" s="1371"/>
      <c r="O441" s="1371"/>
      <c r="P441" s="1371"/>
      <c r="Q441" s="1371"/>
      <c r="R441" s="1371"/>
      <c r="S441" s="1371"/>
      <c r="T441" s="1371"/>
      <c r="U441" s="1371"/>
      <c r="V441" s="1371"/>
      <c r="W441" s="1371"/>
      <c r="X441" s="1371"/>
      <c r="Y441" s="1371"/>
      <c r="Z441" s="1371"/>
      <c r="AA441" s="1371"/>
      <c r="AB441" s="1371"/>
      <c r="AC441" s="1371"/>
      <c r="AD441" s="1371"/>
      <c r="AE441" s="1371"/>
      <c r="AF441" s="1372"/>
      <c r="AG441" s="1369">
        <f>IF(ISERROR(AG440/AG439),0,AG440/AG439)</f>
        <v>1</v>
      </c>
      <c r="AH441" s="1369"/>
      <c r="AI441" s="1369"/>
      <c r="AJ441" s="1369"/>
    </row>
    <row r="442" spans="1:55" ht="13" customHeight="1">
      <c r="D442" s="1370" t="s">
        <v>1285</v>
      </c>
      <c r="E442" s="1371"/>
      <c r="F442" s="1371"/>
      <c r="G442" s="1371"/>
      <c r="H442" s="1371"/>
      <c r="I442" s="1371"/>
      <c r="J442" s="1371"/>
      <c r="K442" s="1371"/>
      <c r="L442" s="1371"/>
      <c r="M442" s="1371"/>
      <c r="N442" s="1371"/>
      <c r="O442" s="1371"/>
      <c r="P442" s="1371"/>
      <c r="Q442" s="1371"/>
      <c r="R442" s="1371"/>
      <c r="S442" s="1371"/>
      <c r="T442" s="1371"/>
      <c r="U442" s="1371"/>
      <c r="V442" s="1371"/>
      <c r="W442" s="1371"/>
      <c r="X442" s="1371"/>
      <c r="Y442" s="1371"/>
      <c r="Z442" s="1371"/>
      <c r="AA442" s="1371"/>
      <c r="AB442" s="1371"/>
      <c r="AC442" s="1371"/>
      <c r="AD442" s="1371"/>
      <c r="AE442" s="1371"/>
      <c r="AF442" s="1372"/>
      <c r="AG442" s="1368">
        <v>41133</v>
      </c>
      <c r="AH442" s="1368"/>
      <c r="AI442" s="1368"/>
      <c r="AJ442" s="1368"/>
    </row>
    <row r="443" spans="1:55" ht="13" customHeight="1">
      <c r="D443" s="1370" t="s">
        <v>1286</v>
      </c>
      <c r="E443" s="1371"/>
      <c r="F443" s="1371"/>
      <c r="G443" s="1371"/>
      <c r="H443" s="1371"/>
      <c r="I443" s="1371"/>
      <c r="J443" s="1371"/>
      <c r="K443" s="1371"/>
      <c r="L443" s="1371"/>
      <c r="M443" s="1371"/>
      <c r="N443" s="1371"/>
      <c r="O443" s="1371"/>
      <c r="P443" s="1371"/>
      <c r="Q443" s="1371"/>
      <c r="R443" s="1371"/>
      <c r="S443" s="1371"/>
      <c r="T443" s="1371"/>
      <c r="U443" s="1371"/>
      <c r="V443" s="1371"/>
      <c r="W443" s="1371"/>
      <c r="X443" s="1371"/>
      <c r="Y443" s="1371"/>
      <c r="Z443" s="1371"/>
      <c r="AA443" s="1371"/>
      <c r="AB443" s="1371"/>
      <c r="AC443" s="1371"/>
      <c r="AD443" s="1371"/>
      <c r="AE443" s="1371"/>
      <c r="AF443" s="1372"/>
      <c r="AG443" s="1368">
        <v>41133</v>
      </c>
      <c r="AH443" s="1368"/>
      <c r="AI443" s="1368"/>
      <c r="AJ443" s="1368"/>
    </row>
    <row r="444" spans="1:55" ht="13" customHeight="1">
      <c r="D444" s="1370" t="s">
        <v>1287</v>
      </c>
      <c r="E444" s="1371"/>
      <c r="F444" s="1371"/>
      <c r="G444" s="1371"/>
      <c r="H444" s="1371"/>
      <c r="I444" s="1371"/>
      <c r="J444" s="1371"/>
      <c r="K444" s="1371"/>
      <c r="L444" s="1371"/>
      <c r="M444" s="1371"/>
      <c r="N444" s="1371"/>
      <c r="O444" s="1371"/>
      <c r="P444" s="1371"/>
      <c r="Q444" s="1371"/>
      <c r="R444" s="1371"/>
      <c r="S444" s="1371"/>
      <c r="T444" s="1371"/>
      <c r="U444" s="1371"/>
      <c r="V444" s="1371"/>
      <c r="W444" s="1371"/>
      <c r="X444" s="1371"/>
      <c r="Y444" s="1371"/>
      <c r="Z444" s="1371"/>
      <c r="AA444" s="1371"/>
      <c r="AB444" s="1371"/>
      <c r="AC444" s="1371"/>
      <c r="AD444" s="1371"/>
      <c r="AE444" s="1371"/>
      <c r="AF444" s="1372"/>
      <c r="AG444" s="1369">
        <f>IF(ISERROR(AG443/AG442),0,AG443/AG442)</f>
        <v>1</v>
      </c>
      <c r="AH444" s="1369"/>
      <c r="AI444" s="1369"/>
      <c r="AJ444" s="1369"/>
    </row>
    <row r="445" spans="1:55" ht="13" customHeight="1">
      <c r="D445" s="1370" t="s">
        <v>1288</v>
      </c>
      <c r="E445" s="1371"/>
      <c r="F445" s="1371"/>
      <c r="G445" s="1371"/>
      <c r="H445" s="1371"/>
      <c r="I445" s="1371"/>
      <c r="J445" s="1371"/>
      <c r="K445" s="1371"/>
      <c r="L445" s="1371"/>
      <c r="M445" s="1371"/>
      <c r="N445" s="1371"/>
      <c r="O445" s="1371"/>
      <c r="P445" s="1371"/>
      <c r="Q445" s="1371"/>
      <c r="R445" s="1371"/>
      <c r="S445" s="1371"/>
      <c r="T445" s="1371"/>
      <c r="U445" s="1371"/>
      <c r="V445" s="1371"/>
      <c r="W445" s="1371"/>
      <c r="X445" s="1371"/>
      <c r="Y445" s="1371"/>
      <c r="Z445" s="1371"/>
      <c r="AA445" s="1371"/>
      <c r="AB445" s="1371"/>
      <c r="AC445" s="1371"/>
      <c r="AD445" s="1371"/>
      <c r="AE445" s="1371"/>
      <c r="AF445" s="1372"/>
      <c r="AG445" s="1369">
        <f>MIN(IF(AG441&gt;AG444,AG444,AG441),1)</f>
        <v>1</v>
      </c>
      <c r="AH445" s="1369"/>
      <c r="AI445" s="1369"/>
      <c r="AJ445" s="1369"/>
    </row>
    <row r="446" spans="1:55" ht="13" customHeight="1">
      <c r="D446" s="1370" t="s">
        <v>1289</v>
      </c>
      <c r="E446" s="1393"/>
      <c r="F446" s="1393"/>
      <c r="G446" s="1393"/>
      <c r="H446" s="1393"/>
      <c r="I446" s="1393"/>
      <c r="J446" s="1393"/>
      <c r="K446" s="1393"/>
      <c r="L446" s="1393"/>
      <c r="M446" s="1393"/>
      <c r="N446" s="1393"/>
      <c r="O446" s="1393"/>
      <c r="P446" s="1393"/>
      <c r="Q446" s="1393"/>
      <c r="R446" s="1393"/>
      <c r="S446" s="1393"/>
      <c r="T446" s="1393"/>
      <c r="U446" s="1393"/>
      <c r="V446" s="1393"/>
      <c r="W446" s="1393"/>
      <c r="X446" s="1393"/>
      <c r="Y446" s="1393"/>
      <c r="Z446" s="1393"/>
      <c r="AA446" s="1393"/>
      <c r="AB446" s="1393"/>
      <c r="AC446" s="1393"/>
      <c r="AD446" s="1393"/>
      <c r="AE446" s="1393"/>
      <c r="AF446" s="1394"/>
      <c r="AG446" s="1368">
        <v>777</v>
      </c>
      <c r="AH446" s="1368"/>
      <c r="AI446" s="1368"/>
      <c r="AJ446" s="1368"/>
      <c r="AZ446" s="2"/>
      <c r="BA446" s="2"/>
      <c r="BB446" s="2"/>
      <c r="BC446" s="2"/>
    </row>
    <row r="447" spans="1:55" ht="13" customHeight="1">
      <c r="D447" s="1455" t="s">
        <v>1290</v>
      </c>
      <c r="E447" s="1393"/>
      <c r="F447" s="1393"/>
      <c r="G447" s="1393"/>
      <c r="H447" s="1393"/>
      <c r="I447" s="1393"/>
      <c r="J447" s="1393"/>
      <c r="K447" s="1393"/>
      <c r="L447" s="1393"/>
      <c r="M447" s="1393"/>
      <c r="N447" s="1393"/>
      <c r="O447" s="1393"/>
      <c r="P447" s="1393"/>
      <c r="Q447" s="1393"/>
      <c r="R447" s="1393"/>
      <c r="S447" s="1393"/>
      <c r="T447" s="1393"/>
      <c r="U447" s="1393"/>
      <c r="V447" s="1393"/>
      <c r="W447" s="1393"/>
      <c r="X447" s="1393"/>
      <c r="Y447" s="1393"/>
      <c r="Z447" s="1393"/>
      <c r="AA447" s="1393"/>
      <c r="AB447" s="1393"/>
      <c r="AC447" s="1393"/>
      <c r="AD447" s="1393"/>
      <c r="AE447" s="1393"/>
      <c r="AF447" s="1394"/>
      <c r="AG447" s="1368">
        <v>0</v>
      </c>
      <c r="AH447" s="1368"/>
      <c r="AI447" s="1368"/>
      <c r="AJ447" s="1368"/>
      <c r="AZ447" s="2"/>
      <c r="BA447" s="2"/>
      <c r="BB447" s="2"/>
      <c r="BC447" s="2"/>
    </row>
    <row r="448" spans="1:55" ht="13" customHeight="1">
      <c r="D448" s="1370" t="s">
        <v>1291</v>
      </c>
      <c r="E448" s="1393"/>
      <c r="F448" s="1393"/>
      <c r="G448" s="1393"/>
      <c r="H448" s="1393"/>
      <c r="I448" s="1393"/>
      <c r="J448" s="1393"/>
      <c r="K448" s="1393"/>
      <c r="L448" s="1393"/>
      <c r="M448" s="1393"/>
      <c r="N448" s="1393"/>
      <c r="O448" s="1393"/>
      <c r="P448" s="1393"/>
      <c r="Q448" s="1393"/>
      <c r="R448" s="1393"/>
      <c r="S448" s="1393"/>
      <c r="T448" s="1393"/>
      <c r="U448" s="1393"/>
      <c r="V448" s="1393"/>
      <c r="W448" s="1393"/>
      <c r="X448" s="1393"/>
      <c r="Y448" s="1393"/>
      <c r="Z448" s="1393"/>
      <c r="AA448" s="1393"/>
      <c r="AB448" s="1393"/>
      <c r="AC448" s="1393"/>
      <c r="AD448" s="1393"/>
      <c r="AE448" s="1393"/>
      <c r="AF448" s="1394"/>
      <c r="AG448" s="1368">
        <v>10424</v>
      </c>
      <c r="AH448" s="1368"/>
      <c r="AI448" s="1368"/>
      <c r="AJ448" s="1368"/>
      <c r="AZ448" s="2"/>
      <c r="BA448" s="2"/>
      <c r="BB448" s="2"/>
      <c r="BC448" s="2"/>
    </row>
    <row r="449" spans="1:55" ht="13" customHeight="1">
      <c r="D449" s="1370" t="s">
        <v>1292</v>
      </c>
      <c r="E449" s="1393"/>
      <c r="F449" s="1393"/>
      <c r="G449" s="1393"/>
      <c r="H449" s="1393"/>
      <c r="I449" s="1393"/>
      <c r="J449" s="1393"/>
      <c r="K449" s="1393"/>
      <c r="L449" s="1393"/>
      <c r="M449" s="1393"/>
      <c r="N449" s="1393"/>
      <c r="O449" s="1393"/>
      <c r="P449" s="1393"/>
      <c r="Q449" s="1393"/>
      <c r="R449" s="1393"/>
      <c r="S449" s="1393"/>
      <c r="T449" s="1393"/>
      <c r="U449" s="1393"/>
      <c r="V449" s="1393"/>
      <c r="W449" s="1393"/>
      <c r="X449" s="1393"/>
      <c r="Y449" s="1393"/>
      <c r="Z449" s="1393"/>
      <c r="AA449" s="1393"/>
      <c r="AB449" s="1393"/>
      <c r="AC449" s="1393"/>
      <c r="AD449" s="1393"/>
      <c r="AE449" s="1393"/>
      <c r="AF449" s="1394"/>
      <c r="AG449" s="1368">
        <v>0</v>
      </c>
      <c r="AH449" s="1368"/>
      <c r="AI449" s="1368"/>
      <c r="AJ449" s="1368"/>
      <c r="BB449" s="2"/>
      <c r="BC449" s="2"/>
    </row>
    <row r="450" spans="1:55" ht="13" customHeight="1">
      <c r="D450" s="1517" t="s">
        <v>1293</v>
      </c>
      <c r="E450" s="1518"/>
      <c r="F450" s="1518"/>
      <c r="G450" s="1518"/>
      <c r="H450" s="1518"/>
      <c r="I450" s="1518"/>
      <c r="J450" s="1518"/>
      <c r="K450" s="1518"/>
      <c r="L450" s="1518"/>
      <c r="M450" s="1518"/>
      <c r="N450" s="1518"/>
      <c r="O450" s="1518"/>
      <c r="P450" s="1518"/>
      <c r="Q450" s="1518"/>
      <c r="R450" s="1518"/>
      <c r="S450" s="1518"/>
      <c r="T450" s="1518"/>
      <c r="U450" s="1518"/>
      <c r="V450" s="1518"/>
      <c r="W450" s="1518"/>
      <c r="X450" s="1518"/>
      <c r="Y450" s="1518"/>
      <c r="Z450" s="1518"/>
      <c r="AA450" s="1518"/>
      <c r="AB450" s="1518"/>
      <c r="AC450" s="1518"/>
      <c r="AD450" s="1518"/>
      <c r="AE450" s="1518"/>
      <c r="AF450" s="1519"/>
      <c r="AG450" s="1381">
        <f>AG442+AG446+AG448+AG449</f>
        <v>52334</v>
      </c>
      <c r="AH450" s="1381"/>
      <c r="AI450" s="1381"/>
      <c r="AJ450" s="1381"/>
      <c r="AZ450" s="2"/>
      <c r="BA450" s="2"/>
      <c r="BB450" s="2"/>
      <c r="BC450" s="2"/>
    </row>
    <row r="451" spans="1:55" ht="13" customHeight="1">
      <c r="D451" s="1526" t="s">
        <v>1294</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2"/>
      <c r="BA451" s="2"/>
      <c r="BB451" s="2"/>
      <c r="BC451" s="2"/>
    </row>
    <row r="452" spans="1:55" ht="13"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2"/>
      <c r="BA452" s="2"/>
      <c r="BB452" s="2"/>
      <c r="BC452" s="2"/>
    </row>
    <row r="453" spans="1:55" ht="13" customHeight="1">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71"/>
      <c r="AZ453" s="2"/>
      <c r="BA453" s="2" t="str">
        <f>N575</f>
        <v>Yes</v>
      </c>
      <c r="BB453" s="2"/>
      <c r="BC453" s="2"/>
    </row>
    <row r="454" spans="1:55" ht="13" customHeight="1">
      <c r="D454" s="114" t="s">
        <v>1295</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328">
        <f>IF(AG437=0,"",'Sources and Uses Budget'!B105/Application!AG437)</f>
        <v>813131.64150943398</v>
      </c>
      <c r="AD454" s="1328"/>
      <c r="AE454" s="1328"/>
      <c r="AF454" s="1328"/>
      <c r="AG454" s="366"/>
      <c r="AH454" s="366"/>
      <c r="AI454" s="366"/>
      <c r="AJ454" s="771"/>
      <c r="AZ454" s="2"/>
      <c r="BA454" s="2" t="str">
        <f>AG575</f>
        <v>Yes</v>
      </c>
      <c r="BB454" s="2"/>
      <c r="BC454" s="2"/>
    </row>
    <row r="455" spans="1:55" ht="13" customHeight="1">
      <c r="D455" s="114" t="s">
        <v>1296</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328">
        <f>IF(AG437=0,"",'Sources and Uses Budget'!C105/Application!AG437)</f>
        <v>813131.64150943398</v>
      </c>
      <c r="AD455" s="1328"/>
      <c r="AE455" s="1328"/>
      <c r="AF455" s="1328"/>
      <c r="AG455" s="366"/>
      <c r="AH455" s="366"/>
      <c r="AI455" s="366"/>
      <c r="AJ455" s="771"/>
      <c r="AZ455" s="2"/>
      <c r="BA455" s="2"/>
      <c r="BB455" s="2"/>
      <c r="BC455" s="2"/>
    </row>
    <row r="456" spans="1:55" ht="13" customHeight="1">
      <c r="D456" s="114" t="s">
        <v>1297</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328">
        <f>IF(AG437=0,"",('Sources and Uses Budget'!$S$107+'Sources and Uses Budget'!$T$107)/Application!AG437)</f>
        <v>760541.71698113205</v>
      </c>
      <c r="AD456" s="1328"/>
      <c r="AE456" s="1328"/>
      <c r="AF456" s="1328"/>
      <c r="AG456" s="366"/>
      <c r="AH456" s="366"/>
      <c r="AI456" s="366"/>
      <c r="AJ456" s="771"/>
      <c r="AZ456" s="2"/>
      <c r="BA456" s="2"/>
      <c r="BB456" s="2"/>
      <c r="BC456" s="2"/>
    </row>
    <row r="457" spans="1:55" ht="13" customHeight="1">
      <c r="D457" s="366"/>
      <c r="E457" s="366"/>
      <c r="F457" s="132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29"/>
      <c r="H457" s="1329"/>
      <c r="I457" s="1329"/>
      <c r="J457" s="1329"/>
      <c r="K457" s="1329"/>
      <c r="L457" s="1329"/>
      <c r="M457" s="1329"/>
      <c r="N457" s="1329"/>
      <c r="O457" s="1329"/>
      <c r="P457" s="1329"/>
      <c r="Q457" s="1329"/>
      <c r="R457" s="1329"/>
      <c r="S457" s="1329"/>
      <c r="T457" s="1329"/>
      <c r="U457" s="1329"/>
      <c r="V457" s="1329"/>
      <c r="W457" s="1329"/>
      <c r="X457" s="1329"/>
      <c r="Y457" s="1329"/>
      <c r="Z457" s="1329"/>
      <c r="AA457" s="1329"/>
      <c r="AB457" s="1329"/>
      <c r="AC457" s="366"/>
      <c r="AD457" s="366"/>
      <c r="AE457" s="366"/>
      <c r="AF457" s="366"/>
      <c r="AG457" s="366"/>
      <c r="AH457" s="366"/>
      <c r="AI457" s="366"/>
      <c r="AJ457" s="771"/>
      <c r="AZ457" s="2"/>
      <c r="BA457" s="2"/>
      <c r="BB457" s="2"/>
      <c r="BC457" s="2"/>
    </row>
    <row r="458" spans="1:55" ht="13" customHeight="1">
      <c r="A458" s="1"/>
      <c r="D458" s="1"/>
      <c r="E458" s="366"/>
      <c r="F458" s="1329"/>
      <c r="G458" s="1329"/>
      <c r="H458" s="1329"/>
      <c r="I458" s="1329"/>
      <c r="J458" s="1329"/>
      <c r="K458" s="1329"/>
      <c r="L458" s="1329"/>
      <c r="M458" s="1329"/>
      <c r="N458" s="1329"/>
      <c r="O458" s="1329"/>
      <c r="P458" s="1329"/>
      <c r="Q458" s="1329"/>
      <c r="R458" s="1329"/>
      <c r="S458" s="1329"/>
      <c r="T458" s="1329"/>
      <c r="U458" s="1329"/>
      <c r="V458" s="1329"/>
      <c r="W458" s="1329"/>
      <c r="X458" s="1329"/>
      <c r="Y458" s="1329"/>
      <c r="Z458" s="1329"/>
      <c r="AA458" s="1329"/>
      <c r="AB458" s="1329"/>
      <c r="AC458" s="366"/>
      <c r="AD458" s="366"/>
      <c r="AE458" s="366"/>
      <c r="AF458" s="366"/>
      <c r="AG458" s="366"/>
      <c r="AH458" s="366"/>
      <c r="AI458" s="366"/>
      <c r="AJ458" s="771"/>
      <c r="AZ458" s="2"/>
      <c r="BA458" s="2"/>
      <c r="BB458" s="2"/>
      <c r="BC458" s="2"/>
    </row>
    <row r="459" spans="1:55" ht="13" customHeight="1">
      <c r="A459" s="1" t="s">
        <v>1298</v>
      </c>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1"/>
      <c r="AZ459" s="2"/>
      <c r="BA459" s="2"/>
      <c r="BB459" s="2"/>
      <c r="BC459" s="2"/>
    </row>
    <row r="460" spans="1:55" ht="13" customHeight="1">
      <c r="D460" s="104" t="s">
        <v>1299</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1"/>
      <c r="AZ460" s="2"/>
      <c r="BA460" s="2"/>
      <c r="BB460" s="2"/>
      <c r="BC460" s="2"/>
    </row>
    <row r="461" spans="1:55" ht="13" customHeight="1">
      <c r="D461" s="104" t="s">
        <v>1300</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1"/>
      <c r="AZ461" s="2"/>
      <c r="BA461" s="2" t="str">
        <f>N583</f>
        <v>Yes</v>
      </c>
      <c r="BB461" s="2"/>
      <c r="BC461" s="2"/>
    </row>
    <row r="462" spans="1:55" ht="13" customHeight="1">
      <c r="D462" s="104" t="s">
        <v>1301</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1"/>
      <c r="AZ462" s="2"/>
      <c r="BA462" s="2" t="str">
        <f>AG583</f>
        <v>Yes</v>
      </c>
      <c r="BB462" s="2"/>
      <c r="BC462" s="2"/>
    </row>
    <row r="463" spans="1:55" ht="13" customHeight="1">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71"/>
      <c r="AZ463" s="2"/>
      <c r="BA463" s="2"/>
      <c r="BB463" s="2"/>
      <c r="BC463" s="2"/>
    </row>
    <row r="464" spans="1:55" ht="13" customHeight="1">
      <c r="A464" s="2"/>
      <c r="B464" s="2"/>
      <c r="C464" s="2"/>
      <c r="D464" s="104" t="s">
        <v>1302</v>
      </c>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366"/>
      <c r="AE464" s="366"/>
      <c r="AF464" s="366"/>
      <c r="AG464" s="366"/>
      <c r="AH464" s="366"/>
      <c r="AI464" s="366"/>
      <c r="AJ464" s="771"/>
      <c r="AZ464" s="2"/>
      <c r="BA464" s="2"/>
      <c r="BB464" s="2"/>
      <c r="BC464" s="2"/>
    </row>
    <row r="465" spans="1:55" ht="13" customHeight="1">
      <c r="A465" s="2"/>
      <c r="B465" s="2"/>
      <c r="C465" s="2"/>
      <c r="D465" s="1330" t="s">
        <v>1303</v>
      </c>
      <c r="E465" s="1331"/>
      <c r="F465" s="1331"/>
      <c r="G465" s="1331"/>
      <c r="H465" s="1331"/>
      <c r="I465" s="1331"/>
      <c r="J465" s="1331"/>
      <c r="K465" s="1331"/>
      <c r="L465" s="1331"/>
      <c r="M465" s="1331"/>
      <c r="N465" s="1331"/>
      <c r="O465" s="1331"/>
      <c r="P465" s="1331"/>
      <c r="Q465" s="1331"/>
      <c r="R465" s="1331"/>
      <c r="S465" s="1331"/>
      <c r="T465" s="1331"/>
      <c r="U465" s="1331"/>
      <c r="V465" s="1332"/>
      <c r="W465" s="1345">
        <v>0</v>
      </c>
      <c r="X465" s="1346"/>
      <c r="Y465" s="1347"/>
      <c r="Z465" s="104"/>
      <c r="AA465" s="104"/>
      <c r="AB465" s="104"/>
      <c r="AC465" s="104"/>
      <c r="AD465" s="366"/>
      <c r="AE465" s="366"/>
      <c r="AF465" s="366"/>
      <c r="AG465" s="366"/>
      <c r="AH465" s="366"/>
      <c r="AI465" s="366"/>
      <c r="AJ465" s="771"/>
      <c r="AZ465" s="2"/>
      <c r="BA465" s="2"/>
      <c r="BB465" s="2"/>
      <c r="BC465" s="2"/>
    </row>
    <row r="466" spans="1:55" ht="13" customHeight="1">
      <c r="A466" s="2"/>
      <c r="B466" s="2"/>
      <c r="C466" s="2"/>
      <c r="D466" s="1330" t="s">
        <v>1304</v>
      </c>
      <c r="E466" s="1331"/>
      <c r="F466" s="1331"/>
      <c r="G466" s="1331"/>
      <c r="H466" s="1331"/>
      <c r="I466" s="1331"/>
      <c r="J466" s="1331"/>
      <c r="K466" s="1331"/>
      <c r="L466" s="1331"/>
      <c r="M466" s="1331"/>
      <c r="N466" s="1331"/>
      <c r="O466" s="1331"/>
      <c r="P466" s="1331"/>
      <c r="Q466" s="1331"/>
      <c r="R466" s="1331"/>
      <c r="S466" s="1331"/>
      <c r="T466" s="1331"/>
      <c r="U466" s="1331"/>
      <c r="V466" s="1332"/>
      <c r="W466" s="1345">
        <v>0</v>
      </c>
      <c r="X466" s="1346"/>
      <c r="Y466" s="1347"/>
      <c r="Z466" s="104"/>
      <c r="AA466" s="104"/>
      <c r="AB466" s="104"/>
      <c r="AC466" s="104"/>
      <c r="AD466" s="366"/>
      <c r="AE466" s="366"/>
      <c r="AF466" s="366"/>
      <c r="AG466" s="366"/>
      <c r="AH466" s="366"/>
      <c r="AI466" s="366"/>
      <c r="AJ466" s="771"/>
      <c r="AZ466" s="2"/>
      <c r="BA466" s="2"/>
      <c r="BB466" s="2"/>
      <c r="BC466" s="2"/>
    </row>
    <row r="467" spans="1:55" ht="13" customHeight="1">
      <c r="A467" s="2"/>
      <c r="B467" s="2"/>
      <c r="C467" s="2"/>
      <c r="D467" s="1330" t="s">
        <v>1305</v>
      </c>
      <c r="E467" s="1331"/>
      <c r="F467" s="1331"/>
      <c r="G467" s="1331"/>
      <c r="H467" s="1331"/>
      <c r="I467" s="1331"/>
      <c r="J467" s="1331"/>
      <c r="K467" s="1331"/>
      <c r="L467" s="1331"/>
      <c r="M467" s="1331"/>
      <c r="N467" s="1331"/>
      <c r="O467" s="1331"/>
      <c r="P467" s="1331"/>
      <c r="Q467" s="1331"/>
      <c r="R467" s="1331"/>
      <c r="S467" s="1331"/>
      <c r="T467" s="1331"/>
      <c r="U467" s="1331"/>
      <c r="V467" s="1332"/>
      <c r="W467" s="1345">
        <v>0</v>
      </c>
      <c r="X467" s="1346"/>
      <c r="Y467" s="1347"/>
      <c r="Z467" s="104"/>
      <c r="AA467" s="104"/>
      <c r="AB467" s="104"/>
      <c r="AC467" s="104"/>
      <c r="AD467" s="366"/>
      <c r="AE467" s="366"/>
      <c r="AF467" s="366"/>
      <c r="AG467" s="366"/>
      <c r="AH467" s="366"/>
      <c r="AI467" s="366"/>
      <c r="AJ467" s="771"/>
      <c r="AZ467" s="2"/>
      <c r="BA467" s="2"/>
      <c r="BB467" s="2"/>
      <c r="BC467" s="2"/>
    </row>
    <row r="468" spans="1:55" ht="13" customHeight="1">
      <c r="A468" s="2"/>
      <c r="B468" s="2"/>
      <c r="C468" s="2"/>
      <c r="D468" s="1330" t="s">
        <v>1306</v>
      </c>
      <c r="E468" s="1331"/>
      <c r="F468" s="1331"/>
      <c r="G468" s="1331"/>
      <c r="H468" s="1331"/>
      <c r="I468" s="1331"/>
      <c r="J468" s="1331"/>
      <c r="K468" s="1331"/>
      <c r="L468" s="1331"/>
      <c r="M468" s="1331"/>
      <c r="N468" s="1331"/>
      <c r="O468" s="1331"/>
      <c r="P468" s="1331"/>
      <c r="Q468" s="1331"/>
      <c r="R468" s="1331"/>
      <c r="S468" s="1331"/>
      <c r="T468" s="1331"/>
      <c r="U468" s="1331"/>
      <c r="V468" s="1332"/>
      <c r="W468" s="1345">
        <v>0</v>
      </c>
      <c r="X468" s="1346"/>
      <c r="Y468" s="1347"/>
      <c r="Z468" s="104"/>
      <c r="AA468" s="104"/>
      <c r="AB468" s="104"/>
      <c r="AC468" s="104"/>
      <c r="AD468" s="366"/>
      <c r="AE468" s="366"/>
      <c r="AF468" s="366"/>
      <c r="AG468" s="366"/>
      <c r="AH468" s="366"/>
      <c r="AI468" s="366"/>
      <c r="AJ468" s="771"/>
      <c r="AZ468" s="2"/>
      <c r="BA468" s="2"/>
      <c r="BB468" s="2"/>
      <c r="BC468" s="2"/>
    </row>
    <row r="469" spans="1:55" ht="13" customHeight="1">
      <c r="A469" s="2"/>
      <c r="B469" s="2"/>
      <c r="C469" s="2"/>
      <c r="D469" s="1330" t="s">
        <v>1307</v>
      </c>
      <c r="E469" s="1331"/>
      <c r="F469" s="1331"/>
      <c r="G469" s="1331"/>
      <c r="H469" s="1331"/>
      <c r="I469" s="1331"/>
      <c r="J469" s="1331"/>
      <c r="K469" s="1331"/>
      <c r="L469" s="1331"/>
      <c r="M469" s="1331"/>
      <c r="N469" s="1331"/>
      <c r="O469" s="1331"/>
      <c r="P469" s="1331"/>
      <c r="Q469" s="1331"/>
      <c r="R469" s="1331"/>
      <c r="S469" s="1331"/>
      <c r="T469" s="1331"/>
      <c r="U469" s="1331"/>
      <c r="V469" s="1332"/>
      <c r="W469" s="1345">
        <v>0</v>
      </c>
      <c r="X469" s="1346"/>
      <c r="Y469" s="1347"/>
      <c r="Z469" s="104"/>
      <c r="AA469" s="104"/>
      <c r="AB469" s="104"/>
      <c r="AC469" s="104"/>
      <c r="AD469" s="366"/>
      <c r="AE469" s="366"/>
      <c r="AF469" s="366"/>
      <c r="AG469" s="366"/>
      <c r="AH469" s="366"/>
      <c r="AI469" s="366"/>
      <c r="AJ469" s="771"/>
      <c r="AZ469" s="2"/>
      <c r="BA469" s="2" t="str">
        <f>N591</f>
        <v>No</v>
      </c>
      <c r="BB469" s="2"/>
      <c r="BC469" s="2"/>
    </row>
    <row r="470" spans="1:55" ht="13" customHeight="1">
      <c r="A470" s="2"/>
      <c r="B470" s="2"/>
      <c r="C470" s="2"/>
      <c r="D470" s="1330" t="s">
        <v>1308</v>
      </c>
      <c r="E470" s="1331"/>
      <c r="F470" s="1331"/>
      <c r="G470" s="1331"/>
      <c r="H470" s="1331"/>
      <c r="I470" s="1331"/>
      <c r="J470" s="1331"/>
      <c r="K470" s="1331"/>
      <c r="L470" s="1331"/>
      <c r="M470" s="1331"/>
      <c r="N470" s="1331"/>
      <c r="O470" s="1331"/>
      <c r="P470" s="1331"/>
      <c r="Q470" s="1331"/>
      <c r="R470" s="1331"/>
      <c r="S470" s="1331"/>
      <c r="T470" s="1331"/>
      <c r="U470" s="1331"/>
      <c r="V470" s="1332"/>
      <c r="W470" s="1345">
        <v>0</v>
      </c>
      <c r="X470" s="1346"/>
      <c r="Y470" s="1347"/>
      <c r="Z470" s="104"/>
      <c r="AA470" s="104"/>
      <c r="AB470" s="104"/>
      <c r="AC470" s="104"/>
      <c r="AD470" s="366"/>
      <c r="AE470" s="366"/>
      <c r="AF470" s="366"/>
      <c r="AG470" s="366"/>
      <c r="AH470" s="366"/>
      <c r="AI470" s="366"/>
      <c r="AJ470" s="771"/>
      <c r="AZ470" s="2"/>
      <c r="BA470" s="2" t="str">
        <f>AG591</f>
        <v>No</v>
      </c>
      <c r="BB470" s="2"/>
      <c r="BC470" s="2"/>
    </row>
    <row r="471" spans="1:55" ht="13" customHeight="1">
      <c r="A471" s="2"/>
      <c r="B471" s="2"/>
      <c r="C471" s="2"/>
      <c r="D471" s="1330" t="s">
        <v>1309</v>
      </c>
      <c r="E471" s="1331"/>
      <c r="F471" s="1331"/>
      <c r="G471" s="1331"/>
      <c r="H471" s="1331"/>
      <c r="I471" s="1331"/>
      <c r="J471" s="1331"/>
      <c r="K471" s="1331"/>
      <c r="L471" s="1331"/>
      <c r="M471" s="1331"/>
      <c r="N471" s="1331"/>
      <c r="O471" s="1331"/>
      <c r="P471" s="1331"/>
      <c r="Q471" s="1331"/>
      <c r="R471" s="1331"/>
      <c r="S471" s="1331"/>
      <c r="T471" s="1331"/>
      <c r="U471" s="1331"/>
      <c r="V471" s="1332"/>
      <c r="W471" s="1345">
        <v>0</v>
      </c>
      <c r="X471" s="1346"/>
      <c r="Y471" s="1347"/>
      <c r="Z471" s="104"/>
      <c r="AA471" s="104"/>
      <c r="AB471" s="104"/>
      <c r="AC471" s="104"/>
      <c r="AD471" s="366"/>
      <c r="AE471" s="366"/>
      <c r="AF471" s="366"/>
      <c r="AG471" s="366"/>
      <c r="AH471" s="366"/>
      <c r="AI471" s="366"/>
      <c r="AJ471" s="771"/>
      <c r="AZ471" s="2"/>
      <c r="BA471" s="2"/>
      <c r="BB471" s="2"/>
      <c r="BC471" s="2"/>
    </row>
    <row r="472" spans="1:55" ht="13" customHeight="1">
      <c r="A472" s="2"/>
      <c r="B472" s="2"/>
      <c r="C472" s="2"/>
      <c r="D472" s="1330" t="s">
        <v>1310</v>
      </c>
      <c r="E472" s="1331"/>
      <c r="F472" s="1331"/>
      <c r="G472" s="1331"/>
      <c r="H472" s="1331"/>
      <c r="I472" s="1331"/>
      <c r="J472" s="1331"/>
      <c r="K472" s="1331"/>
      <c r="L472" s="1331"/>
      <c r="M472" s="1331"/>
      <c r="N472" s="1331"/>
      <c r="O472" s="1331"/>
      <c r="P472" s="1331"/>
      <c r="Q472" s="1331"/>
      <c r="R472" s="1331"/>
      <c r="S472" s="1331"/>
      <c r="T472" s="1331"/>
      <c r="U472" s="1331"/>
      <c r="V472" s="1332"/>
      <c r="W472" s="1345">
        <v>0</v>
      </c>
      <c r="X472" s="1346"/>
      <c r="Y472" s="1347"/>
      <c r="Z472" s="104"/>
      <c r="AA472" s="104"/>
      <c r="AB472" s="104"/>
      <c r="AC472" s="104"/>
      <c r="AD472" s="366"/>
      <c r="AE472" s="366"/>
      <c r="AF472" s="366"/>
      <c r="AG472" s="366"/>
      <c r="AH472" s="366"/>
      <c r="AI472" s="366"/>
      <c r="AJ472" s="771"/>
      <c r="AZ472" s="2"/>
      <c r="BA472" s="2"/>
      <c r="BB472" s="2"/>
      <c r="BC472" s="2"/>
    </row>
    <row r="473" spans="1:55" ht="13" customHeight="1">
      <c r="A473" s="2"/>
      <c r="B473" s="2"/>
      <c r="C473" s="2"/>
      <c r="D473" s="1330" t="s">
        <v>1311</v>
      </c>
      <c r="E473" s="1331"/>
      <c r="F473" s="1331"/>
      <c r="G473" s="1331"/>
      <c r="H473" s="1331"/>
      <c r="I473" s="1331"/>
      <c r="J473" s="1331"/>
      <c r="K473" s="1331"/>
      <c r="L473" s="1331"/>
      <c r="M473" s="1331"/>
      <c r="N473" s="1331"/>
      <c r="O473" s="1331"/>
      <c r="P473" s="1331"/>
      <c r="Q473" s="1331"/>
      <c r="R473" s="1331"/>
      <c r="S473" s="1331"/>
      <c r="T473" s="1331"/>
      <c r="U473" s="1331"/>
      <c r="V473" s="1332"/>
      <c r="W473" s="1345">
        <v>0</v>
      </c>
      <c r="X473" s="1346"/>
      <c r="Y473" s="1347"/>
      <c r="Z473" s="104"/>
      <c r="AA473" s="104"/>
      <c r="AB473" s="104"/>
      <c r="AC473" s="104"/>
      <c r="AD473" s="366"/>
      <c r="AE473" s="366"/>
      <c r="AF473" s="366"/>
      <c r="AG473" s="366"/>
      <c r="AH473" s="366"/>
      <c r="AI473" s="366"/>
      <c r="AJ473" s="771"/>
      <c r="AZ473" s="2"/>
      <c r="BA473" s="2"/>
      <c r="BB473" s="2"/>
      <c r="BC473" s="2"/>
    </row>
    <row r="474" spans="1:55" ht="13" customHeight="1">
      <c r="A474" s="2"/>
      <c r="B474" s="2"/>
      <c r="C474" s="2"/>
      <c r="D474" s="1044" t="s">
        <v>233</v>
      </c>
      <c r="E474" s="1045"/>
      <c r="F474" s="1046"/>
      <c r="G474" s="1610" t="s">
        <v>940</v>
      </c>
      <c r="H474" s="1611"/>
      <c r="I474" s="1611"/>
      <c r="J474" s="1611"/>
      <c r="K474" s="1611"/>
      <c r="L474" s="1611"/>
      <c r="M474" s="1611"/>
      <c r="N474" s="1611"/>
      <c r="O474" s="1611"/>
      <c r="P474" s="1611"/>
      <c r="Q474" s="1611"/>
      <c r="R474" s="1611"/>
      <c r="S474" s="1611"/>
      <c r="T474" s="1611"/>
      <c r="U474" s="1611"/>
      <c r="V474" s="1612"/>
      <c r="W474" s="1345">
        <v>52</v>
      </c>
      <c r="X474" s="1346"/>
      <c r="Y474" s="1347"/>
      <c r="Z474" s="104"/>
      <c r="AA474" s="104"/>
      <c r="AB474" s="104"/>
      <c r="AC474" s="104"/>
      <c r="AD474" s="366"/>
      <c r="AE474" s="366"/>
      <c r="AF474" s="366"/>
      <c r="AG474" s="366"/>
      <c r="AH474" s="366"/>
      <c r="AI474" s="366"/>
      <c r="AJ474" s="771"/>
      <c r="AZ474" s="2"/>
      <c r="BA474" s="2"/>
      <c r="BB474" s="2"/>
      <c r="BC474" s="2"/>
    </row>
    <row r="475" spans="1:55" ht="13" customHeight="1">
      <c r="A475" s="2"/>
      <c r="B475" s="2"/>
      <c r="C475" s="2"/>
      <c r="D475" s="1047" t="s">
        <v>1312</v>
      </c>
      <c r="E475" s="1048"/>
      <c r="F475" s="1048"/>
      <c r="G475" s="104"/>
      <c r="H475" s="104"/>
      <c r="I475" s="104"/>
      <c r="J475" s="104"/>
      <c r="K475" s="104"/>
      <c r="L475" s="104"/>
      <c r="M475" s="104"/>
      <c r="N475" s="104"/>
      <c r="O475" s="104"/>
      <c r="P475" s="104"/>
      <c r="Q475" s="104"/>
      <c r="R475" s="104"/>
      <c r="S475" s="104"/>
      <c r="T475" s="104"/>
      <c r="U475" s="104"/>
      <c r="V475" s="104"/>
      <c r="W475" s="1049"/>
      <c r="X475" s="1049"/>
      <c r="Y475" s="1050"/>
      <c r="Z475" s="104"/>
      <c r="AA475" s="104"/>
      <c r="AB475" s="104"/>
      <c r="AC475" s="104"/>
      <c r="AD475" s="366"/>
      <c r="AE475" s="366"/>
      <c r="AF475" s="366"/>
      <c r="AG475" s="366"/>
      <c r="AH475" s="366"/>
      <c r="AI475" s="366"/>
      <c r="AJ475" s="771"/>
      <c r="AZ475" s="2"/>
      <c r="BA475" s="2"/>
      <c r="BB475" s="2"/>
      <c r="BC475" s="2"/>
    </row>
    <row r="476" spans="1:55" ht="13" customHeight="1">
      <c r="A476" s="2"/>
      <c r="B476" s="2"/>
      <c r="C476" s="2"/>
      <c r="D476" s="1164"/>
      <c r="E476" s="1147"/>
      <c r="F476" s="1147"/>
      <c r="G476" s="1147"/>
      <c r="H476" s="1147"/>
      <c r="I476" s="1147"/>
      <c r="J476" s="1147"/>
      <c r="K476" s="1147"/>
      <c r="L476" s="1147"/>
      <c r="M476" s="1147"/>
      <c r="N476" s="1147"/>
      <c r="O476" s="1147"/>
      <c r="P476" s="1147"/>
      <c r="Q476" s="1147"/>
      <c r="R476" s="1147"/>
      <c r="S476" s="1147"/>
      <c r="T476" s="1147"/>
      <c r="U476" s="1147"/>
      <c r="V476" s="1147"/>
      <c r="W476" s="1051"/>
      <c r="X476" s="1051"/>
      <c r="Y476" s="1052"/>
      <c r="Z476" s="104"/>
      <c r="AA476" s="104"/>
      <c r="AB476" s="104"/>
      <c r="AC476" s="104"/>
      <c r="AD476" s="366"/>
      <c r="AE476" s="366"/>
      <c r="AF476" s="366"/>
      <c r="AG476" s="366"/>
      <c r="AH476" s="366"/>
      <c r="AI476" s="366"/>
      <c r="AJ476" s="771"/>
      <c r="AZ476" s="2"/>
      <c r="BA476" s="2"/>
      <c r="BB476" s="2"/>
      <c r="BC476" s="2"/>
    </row>
    <row r="477" spans="1:55" ht="13" customHeight="1">
      <c r="A477" s="2"/>
      <c r="B477" s="2"/>
      <c r="C477" s="2"/>
      <c r="D477" s="1164"/>
      <c r="E477" s="1147"/>
      <c r="F477" s="1147"/>
      <c r="G477" s="1147"/>
      <c r="H477" s="1147"/>
      <c r="I477" s="1147"/>
      <c r="J477" s="1147"/>
      <c r="K477" s="1147"/>
      <c r="L477" s="1147"/>
      <c r="M477" s="1147"/>
      <c r="N477" s="1147"/>
      <c r="O477" s="1147"/>
      <c r="P477" s="1147"/>
      <c r="Q477" s="1147"/>
      <c r="R477" s="1147"/>
      <c r="S477" s="1147"/>
      <c r="T477" s="1147"/>
      <c r="U477" s="1147"/>
      <c r="V477" s="1147"/>
      <c r="W477" s="1051"/>
      <c r="X477" s="1051"/>
      <c r="Y477" s="1052"/>
      <c r="Z477" s="104"/>
      <c r="AA477" s="104"/>
      <c r="AB477" s="104"/>
      <c r="AC477" s="104"/>
      <c r="AD477" s="366"/>
      <c r="AE477" s="366"/>
      <c r="AF477" s="366"/>
      <c r="AG477" s="366"/>
      <c r="AH477" s="366"/>
      <c r="AI477" s="366"/>
      <c r="AJ477" s="771"/>
      <c r="AZ477" s="2"/>
      <c r="BA477" s="2"/>
      <c r="BB477" s="2"/>
      <c r="BC477" s="2"/>
    </row>
    <row r="478" spans="1:55" ht="13" customHeight="1">
      <c r="A478" s="2"/>
      <c r="B478" s="2"/>
      <c r="C478" s="2"/>
      <c r="D478" s="1164"/>
      <c r="E478" s="1147"/>
      <c r="F478" s="1147"/>
      <c r="G478" s="1147"/>
      <c r="H478" s="1147"/>
      <c r="I478" s="1147"/>
      <c r="J478" s="1147"/>
      <c r="K478" s="1147"/>
      <c r="L478" s="1147"/>
      <c r="M478" s="1147"/>
      <c r="N478" s="1147"/>
      <c r="O478" s="1147"/>
      <c r="P478" s="1147"/>
      <c r="Q478" s="1147"/>
      <c r="R478" s="1147"/>
      <c r="S478" s="1147"/>
      <c r="T478" s="1147"/>
      <c r="U478" s="1147"/>
      <c r="V478" s="1147"/>
      <c r="W478" s="1051"/>
      <c r="X478" s="1051"/>
      <c r="Y478" s="1052"/>
      <c r="Z478" s="104"/>
      <c r="AA478" s="104"/>
      <c r="AB478" s="104"/>
      <c r="AC478" s="104"/>
      <c r="AD478" s="366"/>
      <c r="AE478" s="366"/>
      <c r="AF478" s="366"/>
      <c r="AG478" s="366"/>
      <c r="AH478" s="366"/>
      <c r="AI478" s="366"/>
      <c r="AJ478" s="771"/>
      <c r="AZ478" s="2"/>
      <c r="BA478" s="2" t="str">
        <f>N599</f>
        <v>No</v>
      </c>
      <c r="BB478" s="2"/>
      <c r="BC478" s="2"/>
    </row>
    <row r="479" spans="1:55" ht="13" customHeight="1">
      <c r="AU479" s="54"/>
      <c r="AV479" s="54"/>
      <c r="AW479" s="54"/>
      <c r="AX479" s="54"/>
      <c r="AY479" s="54"/>
      <c r="AZ479" s="2"/>
      <c r="BA479" s="2" t="str">
        <f>AG599</f>
        <v>No</v>
      </c>
      <c r="BB479" s="2"/>
      <c r="BC479" s="2"/>
    </row>
    <row r="480" spans="1:55" ht="13" customHeight="1">
      <c r="A480" s="1482" t="s">
        <v>1313</v>
      </c>
      <c r="B480" s="1482"/>
      <c r="C480" s="1482"/>
      <c r="D480" s="1482"/>
      <c r="E480" s="1482"/>
      <c r="F480" s="1482"/>
      <c r="G480" s="1482"/>
      <c r="H480" s="1482"/>
      <c r="I480" s="1482"/>
      <c r="J480" s="1482"/>
      <c r="K480" s="1482"/>
      <c r="L480" s="1482"/>
      <c r="M480" s="1482"/>
      <c r="N480" s="1482"/>
      <c r="O480" s="1482"/>
      <c r="P480" s="1482"/>
      <c r="Q480" s="1482"/>
      <c r="R480" s="1482"/>
      <c r="S480" s="1482"/>
      <c r="T480" s="1482"/>
      <c r="U480" s="1482"/>
      <c r="V480" s="1482"/>
      <c r="W480" s="1482"/>
      <c r="X480" s="1482"/>
      <c r="Y480" s="1482"/>
      <c r="Z480" s="1482"/>
      <c r="AA480" s="1482"/>
      <c r="AB480" s="1482"/>
      <c r="AC480" s="1482"/>
      <c r="AD480" s="1482"/>
      <c r="AE480" s="1482"/>
      <c r="AF480" s="1482"/>
      <c r="AG480" s="1482"/>
      <c r="AH480" s="1482"/>
      <c r="AI480" s="1482"/>
      <c r="AJ480" s="1482"/>
      <c r="AK480" s="1482"/>
      <c r="AL480" s="1482"/>
      <c r="AM480" s="1482"/>
      <c r="AN480" s="1482"/>
      <c r="AO480" s="1482"/>
      <c r="AP480" s="1482"/>
      <c r="AQ480" s="1482"/>
      <c r="AR480" s="1482"/>
      <c r="AS480" s="1482"/>
      <c r="AT480" s="1482"/>
      <c r="AU480" s="54"/>
      <c r="AV480" s="54"/>
      <c r="AW480" s="54"/>
      <c r="AX480" s="54"/>
      <c r="AY480" s="54"/>
      <c r="AZ480" s="2"/>
      <c r="BB480" s="2"/>
      <c r="BC480" s="2"/>
    </row>
    <row r="481" spans="1:55" ht="13" customHeight="1">
      <c r="A481" s="1482"/>
      <c r="B481" s="1482"/>
      <c r="C481" s="1482"/>
      <c r="D481" s="1482"/>
      <c r="E481" s="1482"/>
      <c r="F481" s="1482"/>
      <c r="G481" s="1482"/>
      <c r="H481" s="1482"/>
      <c r="I481" s="1482"/>
      <c r="J481" s="1482"/>
      <c r="K481" s="1482"/>
      <c r="L481" s="1482"/>
      <c r="M481" s="1482"/>
      <c r="N481" s="1482"/>
      <c r="O481" s="1482"/>
      <c r="P481" s="1482"/>
      <c r="Q481" s="1482"/>
      <c r="R481" s="1482"/>
      <c r="S481" s="1482"/>
      <c r="T481" s="1482"/>
      <c r="U481" s="1482"/>
      <c r="V481" s="1482"/>
      <c r="W481" s="1482"/>
      <c r="X481" s="1482"/>
      <c r="Y481" s="1482"/>
      <c r="Z481" s="1482"/>
      <c r="AA481" s="1482"/>
      <c r="AB481" s="1482"/>
      <c r="AC481" s="1482"/>
      <c r="AD481" s="1482"/>
      <c r="AE481" s="1482"/>
      <c r="AF481" s="1482"/>
      <c r="AG481" s="1482"/>
      <c r="AH481" s="1482"/>
      <c r="AI481" s="1482"/>
      <c r="AJ481" s="1482"/>
      <c r="AK481" s="1482"/>
      <c r="AL481" s="1482"/>
      <c r="AM481" s="1482"/>
      <c r="AN481" s="1482"/>
      <c r="AO481" s="1482"/>
      <c r="AP481" s="1482"/>
      <c r="AQ481" s="1482"/>
      <c r="AR481" s="1482"/>
      <c r="AS481" s="1482"/>
      <c r="AT481" s="1482"/>
      <c r="AZ481" s="2"/>
      <c r="BB481" s="2"/>
      <c r="BC481" s="2"/>
    </row>
    <row r="482" spans="1:55" ht="13" customHeight="1">
      <c r="AZ482" s="2"/>
      <c r="BB482" s="2"/>
      <c r="BC482" s="2"/>
    </row>
    <row r="483" spans="1:55" ht="13" customHeight="1">
      <c r="A483" s="1" t="s">
        <v>872</v>
      </c>
      <c r="C483" s="1" t="s">
        <v>165</v>
      </c>
      <c r="AZ483" s="2"/>
      <c r="BB483" s="2"/>
      <c r="BC483" s="2"/>
    </row>
    <row r="484" spans="1:55" ht="13" customHeight="1">
      <c r="AZ484" s="2"/>
      <c r="BB484" s="2"/>
      <c r="BC484" s="2"/>
    </row>
    <row r="485" spans="1:55" ht="13" customHeight="1">
      <c r="B485" s="1104"/>
      <c r="C485" s="4"/>
      <c r="D485" s="4"/>
      <c r="E485" s="4"/>
      <c r="F485" s="4"/>
      <c r="G485" s="4"/>
      <c r="H485" s="4"/>
      <c r="I485" s="4"/>
      <c r="J485" s="4"/>
      <c r="K485" s="4"/>
      <c r="L485" s="4"/>
      <c r="M485" s="4"/>
      <c r="N485" s="4"/>
      <c r="O485" s="4"/>
      <c r="P485" s="1105"/>
      <c r="Q485" s="1340" t="s">
        <v>1314</v>
      </c>
      <c r="R485" s="1341"/>
      <c r="S485" s="1341"/>
      <c r="T485" s="1341"/>
      <c r="U485" s="1341"/>
      <c r="V485" s="1341"/>
      <c r="W485" s="1341"/>
      <c r="X485" s="1341"/>
      <c r="Y485" s="1341"/>
      <c r="Z485" s="1341"/>
      <c r="AA485" s="1341"/>
      <c r="AB485" s="1341"/>
      <c r="AC485" s="1341"/>
      <c r="AD485" s="1341"/>
      <c r="AE485" s="1341"/>
      <c r="AF485" s="1341"/>
      <c r="AG485" s="1341"/>
      <c r="AH485" s="1341"/>
      <c r="AI485" s="1341"/>
      <c r="AJ485" s="1341"/>
      <c r="AK485" s="1342"/>
      <c r="AZ485" s="2"/>
      <c r="BB485" s="2"/>
      <c r="BC485" s="2"/>
    </row>
    <row r="486" spans="1:55" ht="13" customHeight="1">
      <c r="B486" s="1104" t="s">
        <v>1315</v>
      </c>
      <c r="C486" s="4"/>
      <c r="D486" s="4"/>
      <c r="E486" s="4"/>
      <c r="F486" s="4"/>
      <c r="G486" s="4"/>
      <c r="H486" s="4"/>
      <c r="I486" s="4"/>
      <c r="J486" s="4"/>
      <c r="K486" s="4"/>
      <c r="L486" s="4"/>
      <c r="M486" s="4"/>
      <c r="N486" s="4"/>
      <c r="O486" s="4"/>
      <c r="P486" s="4"/>
      <c r="Q486" s="1325" t="s">
        <v>1316</v>
      </c>
      <c r="R486" s="1326"/>
      <c r="S486" s="1326"/>
      <c r="T486" s="1326"/>
      <c r="U486" s="1326"/>
      <c r="V486" s="1326"/>
      <c r="W486" s="1326"/>
      <c r="X486" s="1326"/>
      <c r="Y486" s="1326"/>
      <c r="Z486" s="1326"/>
      <c r="AA486" s="1326"/>
      <c r="AB486" s="1326"/>
      <c r="AC486" s="1326"/>
      <c r="AD486" s="1326"/>
      <c r="AE486" s="1326"/>
      <c r="AF486" s="1326"/>
      <c r="AG486" s="1326"/>
      <c r="AH486" s="1326"/>
      <c r="AI486" s="1326"/>
      <c r="AJ486" s="1326"/>
      <c r="AK486" s="1327"/>
      <c r="AZ486" s="2"/>
      <c r="BB486" s="2"/>
      <c r="BC486" s="2"/>
    </row>
    <row r="487" spans="1:55" ht="13" customHeight="1">
      <c r="B487" s="1104" t="s">
        <v>1317</v>
      </c>
      <c r="C487" s="4"/>
      <c r="D487" s="4"/>
      <c r="E487" s="4"/>
      <c r="F487" s="4"/>
      <c r="G487" s="4"/>
      <c r="H487" s="4"/>
      <c r="I487" s="4"/>
      <c r="J487" s="4"/>
      <c r="K487" s="4"/>
      <c r="L487" s="4"/>
      <c r="M487" s="4"/>
      <c r="N487" s="4"/>
      <c r="O487" s="4"/>
      <c r="P487" s="4"/>
      <c r="Q487" s="1325" t="s">
        <v>1318</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Z487" s="2"/>
      <c r="BB487" s="2"/>
      <c r="BC487" s="2"/>
    </row>
    <row r="488" spans="1:55" ht="13" customHeight="1">
      <c r="B488" s="1104" t="s">
        <v>1319</v>
      </c>
      <c r="C488" s="4"/>
      <c r="D488" s="4"/>
      <c r="E488" s="4"/>
      <c r="F488" s="4"/>
      <c r="G488" s="4"/>
      <c r="H488" s="4"/>
      <c r="I488" s="4"/>
      <c r="J488" s="4"/>
      <c r="K488" s="4"/>
      <c r="L488" s="4"/>
      <c r="M488" s="4"/>
      <c r="N488" s="4"/>
      <c r="O488" s="4"/>
      <c r="P488" s="4"/>
      <c r="Q488" s="1325" t="s">
        <v>1320</v>
      </c>
      <c r="R488" s="1326"/>
      <c r="S488" s="1326"/>
      <c r="T488" s="1326"/>
      <c r="U488" s="1326"/>
      <c r="V488" s="1326"/>
      <c r="W488" s="1326"/>
      <c r="X488" s="1326"/>
      <c r="Y488" s="1326"/>
      <c r="Z488" s="1326"/>
      <c r="AA488" s="1326"/>
      <c r="AB488" s="1326"/>
      <c r="AC488" s="1326"/>
      <c r="AD488" s="1326"/>
      <c r="AE488" s="1326"/>
      <c r="AF488" s="1326"/>
      <c r="AG488" s="1326"/>
      <c r="AH488" s="1326"/>
      <c r="AI488" s="1326"/>
      <c r="AJ488" s="1326"/>
      <c r="AK488" s="1327"/>
      <c r="AZ488" s="2"/>
      <c r="BA488" s="2"/>
      <c r="BB488" s="2"/>
      <c r="BC488" s="2"/>
    </row>
    <row r="489" spans="1:55" ht="13" customHeight="1">
      <c r="B489" s="1405" t="s">
        <v>1321</v>
      </c>
      <c r="C489" s="1406"/>
      <c r="D489" s="1406"/>
      <c r="E489" s="1406"/>
      <c r="F489" s="1406"/>
      <c r="G489" s="1406"/>
      <c r="H489" s="1406"/>
      <c r="I489" s="1406"/>
      <c r="J489" s="1406"/>
      <c r="K489" s="1406"/>
      <c r="L489" s="1406"/>
      <c r="M489" s="1406"/>
      <c r="N489" s="1406"/>
      <c r="O489" s="1406"/>
      <c r="P489" s="1407"/>
      <c r="Q489" s="1411" t="s">
        <v>694</v>
      </c>
      <c r="R489" s="1412"/>
      <c r="S489" s="1511" t="s">
        <v>1322</v>
      </c>
      <c r="T489" s="1512"/>
      <c r="U489" s="1512"/>
      <c r="V489" s="1512"/>
      <c r="W489" s="1512"/>
      <c r="X489" s="1512"/>
      <c r="Y489" s="1512"/>
      <c r="Z489" s="1512"/>
      <c r="AA489" s="1512"/>
      <c r="AB489" s="1512"/>
      <c r="AC489" s="1512"/>
      <c r="AD489" s="1512"/>
      <c r="AE489" s="1512"/>
      <c r="AF489" s="1512"/>
      <c r="AG489" s="1512"/>
      <c r="AH489" s="1512"/>
      <c r="AI489" s="1512"/>
      <c r="AJ489" s="1512"/>
      <c r="AK489" s="1513"/>
      <c r="AZ489" s="2"/>
      <c r="BA489" s="2"/>
      <c r="BB489" s="2"/>
      <c r="BC489" s="2"/>
    </row>
    <row r="490" spans="1:55" ht="13" customHeight="1">
      <c r="B490" s="1408"/>
      <c r="C490" s="1409"/>
      <c r="D490" s="1409"/>
      <c r="E490" s="1409"/>
      <c r="F490" s="1409"/>
      <c r="G490" s="1409"/>
      <c r="H490" s="1409"/>
      <c r="I490" s="1409"/>
      <c r="J490" s="1409"/>
      <c r="K490" s="1409"/>
      <c r="L490" s="1409"/>
      <c r="M490" s="1409"/>
      <c r="N490" s="1409"/>
      <c r="O490" s="1409"/>
      <c r="P490" s="1410"/>
      <c r="Q490" s="1413"/>
      <c r="R490" s="1414"/>
      <c r="S490" s="1514"/>
      <c r="T490" s="1478"/>
      <c r="U490" s="1478"/>
      <c r="V490" s="1478"/>
      <c r="W490" s="1478"/>
      <c r="X490" s="1478"/>
      <c r="Y490" s="1478"/>
      <c r="Z490" s="1478"/>
      <c r="AA490" s="1478"/>
      <c r="AB490" s="1478"/>
      <c r="AC490" s="1478"/>
      <c r="AD490" s="1478"/>
      <c r="AE490" s="1478"/>
      <c r="AF490" s="1478"/>
      <c r="AG490" s="1478"/>
      <c r="AH490" s="1478"/>
      <c r="AI490" s="1478"/>
      <c r="AJ490" s="1478"/>
      <c r="AK490" s="1515"/>
      <c r="AZ490" s="2"/>
      <c r="BA490" s="2"/>
      <c r="BB490" s="2"/>
      <c r="BC490" s="2"/>
    </row>
    <row r="491" spans="1:55" ht="13" customHeight="1">
      <c r="B491" s="707" t="s">
        <v>1323</v>
      </c>
      <c r="C491" s="1179"/>
      <c r="D491" s="1179"/>
      <c r="E491" s="1179"/>
      <c r="F491" s="1179"/>
      <c r="G491" s="1179"/>
      <c r="H491" s="1179"/>
      <c r="I491" s="1179"/>
      <c r="J491" s="1179"/>
      <c r="K491" s="1179"/>
      <c r="L491" s="1179"/>
      <c r="M491" s="1179"/>
      <c r="N491" s="1179"/>
      <c r="O491" s="1179"/>
      <c r="P491" s="1179"/>
      <c r="Q491" s="1333" t="s">
        <v>694</v>
      </c>
      <c r="R491" s="1334"/>
      <c r="S491" s="1334"/>
      <c r="T491" s="1334"/>
      <c r="U491" s="1334"/>
      <c r="V491" s="1334"/>
      <c r="W491" s="1334"/>
      <c r="X491" s="1334"/>
      <c r="Y491" s="1334"/>
      <c r="Z491" s="1334"/>
      <c r="AA491" s="1334"/>
      <c r="AB491" s="1334"/>
      <c r="AC491" s="1334"/>
      <c r="AD491" s="1334"/>
      <c r="AE491" s="1334"/>
      <c r="AF491" s="1334"/>
      <c r="AG491" s="1334"/>
      <c r="AH491" s="1334"/>
      <c r="AI491" s="1334"/>
      <c r="AJ491" s="1334"/>
      <c r="AK491" s="1335"/>
      <c r="AZ491" s="2"/>
      <c r="BA491" s="2"/>
      <c r="BB491" s="2"/>
      <c r="BC491" s="2"/>
    </row>
    <row r="492" spans="1:55" ht="13" customHeight="1">
      <c r="B492" s="1104" t="s">
        <v>1324</v>
      </c>
      <c r="C492" s="4"/>
      <c r="D492" s="4"/>
      <c r="E492" s="4"/>
      <c r="F492" s="4"/>
      <c r="G492" s="4"/>
      <c r="H492" s="4"/>
      <c r="I492" s="4"/>
      <c r="J492" s="4"/>
      <c r="K492" s="4"/>
      <c r="L492" s="4"/>
      <c r="M492" s="4"/>
      <c r="N492" s="4"/>
      <c r="O492" s="4"/>
      <c r="P492" s="4"/>
      <c r="Q492" s="1325" t="s">
        <v>1325</v>
      </c>
      <c r="R492" s="1326"/>
      <c r="S492" s="1326"/>
      <c r="T492" s="1326"/>
      <c r="U492" s="1326"/>
      <c r="V492" s="1326"/>
      <c r="W492" s="1326"/>
      <c r="X492" s="1326"/>
      <c r="Y492" s="1326"/>
      <c r="Z492" s="1326"/>
      <c r="AA492" s="1326"/>
      <c r="AB492" s="1326"/>
      <c r="AC492" s="1326"/>
      <c r="AD492" s="1326"/>
      <c r="AE492" s="1326"/>
      <c r="AF492" s="1326"/>
      <c r="AG492" s="1326"/>
      <c r="AH492" s="1326"/>
      <c r="AI492" s="1326"/>
      <c r="AJ492" s="1326"/>
      <c r="AK492" s="1327"/>
      <c r="AZ492" s="2"/>
      <c r="BA492" s="2"/>
      <c r="BB492" s="2"/>
      <c r="BC492" s="2"/>
    </row>
    <row r="493" spans="1:55" ht="13" customHeight="1">
      <c r="B493" s="1104" t="s">
        <v>1326</v>
      </c>
      <c r="C493" s="4"/>
      <c r="D493" s="4"/>
      <c r="E493" s="4"/>
      <c r="F493" s="4"/>
      <c r="G493" s="4"/>
      <c r="H493" s="4"/>
      <c r="I493" s="4"/>
      <c r="J493" s="4"/>
      <c r="K493" s="4"/>
      <c r="L493" s="4"/>
      <c r="M493" s="4"/>
      <c r="N493" s="4"/>
      <c r="O493" s="4"/>
      <c r="P493" s="4"/>
      <c r="Q493" s="1325" t="s">
        <v>1325</v>
      </c>
      <c r="R493" s="1326"/>
      <c r="S493" s="1326"/>
      <c r="T493" s="1326"/>
      <c r="U493" s="1326"/>
      <c r="V493" s="1326"/>
      <c r="W493" s="1326"/>
      <c r="X493" s="1326"/>
      <c r="Y493" s="1326"/>
      <c r="Z493" s="1326"/>
      <c r="AA493" s="1326"/>
      <c r="AB493" s="1326"/>
      <c r="AC493" s="1326"/>
      <c r="AD493" s="1326"/>
      <c r="AE493" s="1326"/>
      <c r="AF493" s="1326"/>
      <c r="AG493" s="1326"/>
      <c r="AH493" s="1326"/>
      <c r="AI493" s="1326"/>
      <c r="AJ493" s="1326"/>
      <c r="AK493" s="1327"/>
      <c r="AZ493" s="2"/>
      <c r="BA493" s="2"/>
      <c r="BB493" s="2"/>
      <c r="BC493" s="2"/>
    </row>
    <row r="494" spans="1:55" ht="13" customHeight="1">
      <c r="B494" s="1106" t="s">
        <v>1327</v>
      </c>
      <c r="C494" s="4"/>
      <c r="D494" s="4"/>
      <c r="E494" s="4"/>
      <c r="F494" s="4"/>
      <c r="G494" s="4"/>
      <c r="H494" s="4"/>
      <c r="I494" s="4"/>
      <c r="J494" s="4"/>
      <c r="K494" s="4"/>
      <c r="L494" s="4"/>
      <c r="M494" s="4"/>
      <c r="N494" s="4"/>
      <c r="O494" s="4"/>
      <c r="P494" s="4"/>
      <c r="Q494" s="1325">
        <v>72</v>
      </c>
      <c r="R494" s="1326"/>
      <c r="S494" s="1326"/>
      <c r="T494" s="1326"/>
      <c r="U494" s="1326"/>
      <c r="V494" s="1326"/>
      <c r="W494" s="1326"/>
      <c r="X494" s="1326"/>
      <c r="Y494" s="1326"/>
      <c r="Z494" s="1326"/>
      <c r="AA494" s="1326"/>
      <c r="AB494" s="1326"/>
      <c r="AC494" s="1326"/>
      <c r="AD494" s="1326"/>
      <c r="AE494" s="1326"/>
      <c r="AF494" s="1326"/>
      <c r="AG494" s="1326"/>
      <c r="AH494" s="1326"/>
      <c r="AI494" s="1326"/>
      <c r="AJ494" s="1326"/>
      <c r="AK494" s="1327"/>
      <c r="AZ494" s="2"/>
      <c r="BA494" s="2"/>
      <c r="BB494" s="2"/>
      <c r="BC494" s="2"/>
    </row>
    <row r="495" spans="1:55" ht="13" customHeight="1">
      <c r="B495" s="1106" t="s">
        <v>1328</v>
      </c>
      <c r="C495" s="4"/>
      <c r="D495" s="4"/>
      <c r="E495" s="4"/>
      <c r="F495" s="4"/>
      <c r="G495" s="4"/>
      <c r="H495" s="4"/>
      <c r="I495" s="4"/>
      <c r="J495" s="4"/>
      <c r="K495" s="4"/>
      <c r="L495" s="4"/>
      <c r="M495" s="1336"/>
      <c r="N495" s="1337"/>
      <c r="O495" s="1337"/>
      <c r="P495" s="1338"/>
      <c r="Q495" s="1106" t="s">
        <v>1329</v>
      </c>
      <c r="R495" s="4"/>
      <c r="S495" s="4"/>
      <c r="T495" s="4"/>
      <c r="U495" s="4"/>
      <c r="V495" s="4"/>
      <c r="W495" s="4"/>
      <c r="X495" s="4"/>
      <c r="Y495" s="4"/>
      <c r="Z495" s="4"/>
      <c r="AA495" s="4"/>
      <c r="AB495" s="4"/>
      <c r="AC495" s="4"/>
      <c r="AD495" s="4"/>
      <c r="AE495" s="4"/>
      <c r="AF495" s="4"/>
      <c r="AG495" s="4"/>
      <c r="AH495" s="1336">
        <v>72</v>
      </c>
      <c r="AI495" s="1337"/>
      <c r="AJ495" s="1337"/>
      <c r="AK495" s="1338"/>
      <c r="AZ495" s="2"/>
      <c r="BA495" s="2"/>
      <c r="BB495" s="2"/>
      <c r="BC495" s="2"/>
    </row>
    <row r="496" spans="1:55" ht="13" customHeight="1">
      <c r="B496" s="363"/>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3" customHeight="1">
      <c r="A497" s="1" t="s">
        <v>913</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3" customHeight="1">
      <c r="B498" s="377"/>
      <c r="C498" s="363"/>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3"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0" t="s">
        <v>1330</v>
      </c>
      <c r="AD499" s="1341"/>
      <c r="AE499" s="1341"/>
      <c r="AF499" s="1341"/>
      <c r="AG499" s="1341"/>
      <c r="AH499" s="1341"/>
      <c r="AI499" s="1341"/>
      <c r="AJ499" s="1341"/>
      <c r="AK499" s="1342"/>
      <c r="AZ499" s="2"/>
      <c r="BA499" s="2"/>
      <c r="BB499" s="2"/>
      <c r="BC499" s="2"/>
      <c r="BD499" s="2"/>
      <c r="BE499" s="2"/>
      <c r="BF499" s="2"/>
      <c r="BG499" s="2"/>
      <c r="BH499" s="2"/>
      <c r="BI499" s="2"/>
      <c r="BJ499" s="2"/>
      <c r="BK499" s="2"/>
      <c r="BL499" s="2"/>
      <c r="BM499" s="2"/>
      <c r="BN499" s="2"/>
    </row>
    <row r="500" spans="1:66" ht="13"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0" t="s">
        <v>1331</v>
      </c>
      <c r="AD500" s="1341"/>
      <c r="AE500" s="1341"/>
      <c r="AF500" s="1341"/>
      <c r="AG500" s="1177" t="s">
        <v>1332</v>
      </c>
      <c r="AH500" s="1341" t="s">
        <v>1333</v>
      </c>
      <c r="AI500" s="1341"/>
      <c r="AJ500" s="1341"/>
      <c r="AK500" s="1342"/>
      <c r="AZ500" s="2"/>
      <c r="BA500" s="2"/>
      <c r="BB500" s="2"/>
      <c r="BC500" s="2"/>
      <c r="BD500" s="2"/>
      <c r="BE500" s="2"/>
      <c r="BF500" s="2"/>
      <c r="BG500" s="2"/>
      <c r="BH500" s="2"/>
      <c r="BI500" s="2"/>
      <c r="BJ500" s="2"/>
      <c r="BK500" s="2"/>
      <c r="BL500" s="2"/>
      <c r="BM500" s="2"/>
      <c r="BN500" s="2"/>
    </row>
    <row r="501" spans="1:66" ht="13" customHeight="1">
      <c r="B501" s="1348" t="s">
        <v>1334</v>
      </c>
      <c r="C501" s="1349"/>
      <c r="D501" s="1349"/>
      <c r="E501" s="1349"/>
      <c r="F501" s="1349"/>
      <c r="G501" s="1349"/>
      <c r="H501" s="1350"/>
      <c r="I501" s="30" t="s">
        <v>1335</v>
      </c>
      <c r="J501" s="30"/>
      <c r="K501" s="30"/>
      <c r="L501" s="30"/>
      <c r="M501" s="30"/>
      <c r="N501" s="30"/>
      <c r="O501" s="30"/>
      <c r="P501" s="30"/>
      <c r="Q501" s="30"/>
      <c r="R501" s="30"/>
      <c r="S501" s="30"/>
      <c r="T501" s="30"/>
      <c r="U501" s="30"/>
      <c r="V501" s="30"/>
      <c r="W501" s="30"/>
      <c r="AC501" s="1343">
        <v>4</v>
      </c>
      <c r="AD501" s="1344"/>
      <c r="AE501" s="1344"/>
      <c r="AF501" s="1344"/>
      <c r="AG501" s="1149" t="s">
        <v>1332</v>
      </c>
      <c r="AH501" s="1379">
        <v>2025</v>
      </c>
      <c r="AI501" s="1379"/>
      <c r="AJ501" s="1379"/>
      <c r="AK501" s="1380"/>
      <c r="AZ501" s="2"/>
      <c r="BA501" s="2"/>
      <c r="BB501" s="2"/>
      <c r="BC501" s="2"/>
      <c r="BD501" s="2"/>
      <c r="BE501" s="2"/>
      <c r="BF501" s="2"/>
      <c r="BG501" s="2"/>
      <c r="BH501" s="2"/>
      <c r="BI501" s="2"/>
      <c r="BJ501" s="2"/>
      <c r="BK501" s="2"/>
      <c r="BL501" s="2"/>
      <c r="BM501" s="2"/>
      <c r="BN501" s="2"/>
    </row>
    <row r="502" spans="1:66" ht="13" customHeight="1">
      <c r="B502" s="1351"/>
      <c r="C502" s="1352"/>
      <c r="D502" s="1352"/>
      <c r="E502" s="1352"/>
      <c r="F502" s="1352"/>
      <c r="G502" s="1352"/>
      <c r="H502" s="1353"/>
      <c r="I502" s="32" t="s">
        <v>1336</v>
      </c>
      <c r="J502" s="32"/>
      <c r="K502" s="32"/>
      <c r="L502" s="32"/>
      <c r="M502" s="32"/>
      <c r="N502" s="32"/>
      <c r="O502" s="32"/>
      <c r="P502" s="32"/>
      <c r="Q502" s="32"/>
      <c r="R502" s="32"/>
      <c r="S502" s="32"/>
      <c r="T502" s="32"/>
      <c r="U502" s="32"/>
      <c r="V502" s="32"/>
      <c r="W502" s="32"/>
      <c r="X502" s="32"/>
      <c r="Y502" s="32"/>
      <c r="Z502" s="32"/>
      <c r="AA502" s="32"/>
      <c r="AB502" s="32"/>
      <c r="AC502" s="1343">
        <v>10</v>
      </c>
      <c r="AD502" s="1344"/>
      <c r="AE502" s="1344"/>
      <c r="AF502" s="1344"/>
      <c r="AG502" s="1170" t="s">
        <v>1332</v>
      </c>
      <c r="AH502" s="1379">
        <v>2025</v>
      </c>
      <c r="AI502" s="1379"/>
      <c r="AJ502" s="1379"/>
      <c r="AK502" s="1380"/>
      <c r="AZ502" s="2"/>
      <c r="BA502" s="2"/>
      <c r="BB502" s="2"/>
      <c r="BC502" s="2"/>
      <c r="BD502" s="2"/>
      <c r="BE502" s="2"/>
      <c r="BF502" s="2"/>
      <c r="BG502" s="2"/>
      <c r="BH502" s="2"/>
      <c r="BI502" s="2"/>
      <c r="BJ502" s="2"/>
      <c r="BK502" s="2"/>
      <c r="BL502" s="2"/>
      <c r="BM502" s="2"/>
      <c r="BN502" s="2"/>
    </row>
    <row r="503" spans="1:66" ht="13" customHeight="1">
      <c r="B503" s="1348" t="s">
        <v>1337</v>
      </c>
      <c r="C503" s="1349"/>
      <c r="D503" s="1349"/>
      <c r="E503" s="1349"/>
      <c r="F503" s="1349"/>
      <c r="G503" s="1349"/>
      <c r="H503" s="1350"/>
      <c r="I503" s="30" t="s">
        <v>1338</v>
      </c>
      <c r="J503" s="30"/>
      <c r="K503" s="30"/>
      <c r="L503" s="30"/>
      <c r="M503" s="30"/>
      <c r="N503" s="30"/>
      <c r="O503" s="30"/>
      <c r="P503" s="30"/>
      <c r="Q503" s="30"/>
      <c r="R503" s="30"/>
      <c r="S503" s="30"/>
      <c r="T503" s="30"/>
      <c r="U503" s="30"/>
      <c r="V503" s="30"/>
      <c r="W503" s="30"/>
      <c r="AC503" s="1343" t="s">
        <v>798</v>
      </c>
      <c r="AD503" s="1344"/>
      <c r="AE503" s="1344"/>
      <c r="AF503" s="1344"/>
      <c r="AG503" s="1149" t="s">
        <v>1332</v>
      </c>
      <c r="AH503" s="1379"/>
      <c r="AI503" s="1379"/>
      <c r="AJ503" s="1379"/>
      <c r="AK503" s="1380"/>
      <c r="AZ503" s="2"/>
      <c r="BA503" s="2"/>
      <c r="BB503" s="2"/>
      <c r="BC503" s="2"/>
      <c r="BD503" s="2"/>
      <c r="BE503" s="2"/>
      <c r="BF503" s="2"/>
      <c r="BG503" s="2"/>
      <c r="BH503" s="2"/>
      <c r="BI503" s="2"/>
      <c r="BJ503" s="2"/>
      <c r="BK503" s="2"/>
      <c r="BL503" s="2"/>
      <c r="BM503" s="2"/>
      <c r="BN503" s="2"/>
    </row>
    <row r="504" spans="1:66" ht="13" customHeight="1">
      <c r="B504" s="1351"/>
      <c r="C504" s="1352"/>
      <c r="D504" s="1352"/>
      <c r="E504" s="1352"/>
      <c r="F504" s="1352"/>
      <c r="G504" s="1352"/>
      <c r="H504" s="1353"/>
      <c r="I504" t="s">
        <v>1339</v>
      </c>
      <c r="AC504" s="1343" t="s">
        <v>798</v>
      </c>
      <c r="AD504" s="1344"/>
      <c r="AE504" s="1344"/>
      <c r="AF504" s="1344"/>
      <c r="AG504" s="1149" t="s">
        <v>1332</v>
      </c>
      <c r="AH504" s="1379"/>
      <c r="AI504" s="1379"/>
      <c r="AJ504" s="1379"/>
      <c r="AK504" s="1380"/>
      <c r="AZ504" s="2"/>
      <c r="BA504" s="2"/>
      <c r="BB504" s="2"/>
      <c r="BC504" s="2"/>
      <c r="BD504" s="2"/>
      <c r="BE504" s="2"/>
      <c r="BF504" s="2"/>
      <c r="BG504" s="2"/>
      <c r="BH504" s="2"/>
      <c r="BI504" s="2"/>
      <c r="BJ504" s="2"/>
      <c r="BK504" s="2"/>
      <c r="BL504" s="2"/>
      <c r="BM504" s="2"/>
      <c r="BN504" s="2"/>
    </row>
    <row r="505" spans="1:66" ht="13" customHeight="1">
      <c r="B505" s="1351"/>
      <c r="C505" s="1352"/>
      <c r="D505" s="1352"/>
      <c r="E505" s="1352"/>
      <c r="F505" s="1352"/>
      <c r="G505" s="1352"/>
      <c r="H505" s="1353"/>
      <c r="I505" t="s">
        <v>1340</v>
      </c>
      <c r="AC505" s="1343" t="s">
        <v>798</v>
      </c>
      <c r="AD505" s="1344"/>
      <c r="AE505" s="1344"/>
      <c r="AF505" s="1344"/>
      <c r="AG505" s="1149" t="s">
        <v>1332</v>
      </c>
      <c r="AH505" s="1379"/>
      <c r="AI505" s="1379"/>
      <c r="AJ505" s="1379"/>
      <c r="AK505" s="1380"/>
      <c r="AZ505" s="2"/>
      <c r="BA505" s="2"/>
      <c r="BB505" s="2"/>
      <c r="BC505" s="2"/>
      <c r="BD505" s="2"/>
      <c r="BE505" s="2"/>
      <c r="BF505" s="2"/>
      <c r="BG505" s="2"/>
      <c r="BH505" s="2"/>
      <c r="BI505" s="2"/>
      <c r="BJ505" s="2"/>
      <c r="BK505" s="2"/>
      <c r="BL505" s="2"/>
      <c r="BM505" s="2"/>
      <c r="BN505" s="2"/>
    </row>
    <row r="506" spans="1:66" ht="13" customHeight="1">
      <c r="B506" s="1351"/>
      <c r="C506" s="1352"/>
      <c r="D506" s="1352"/>
      <c r="E506" s="1352"/>
      <c r="F506" s="1352"/>
      <c r="G506" s="1352"/>
      <c r="H506" s="1353"/>
      <c r="I506" t="s">
        <v>1341</v>
      </c>
      <c r="AC506" s="1343" t="s">
        <v>798</v>
      </c>
      <c r="AD506" s="1344"/>
      <c r="AE506" s="1344"/>
      <c r="AF506" s="1344"/>
      <c r="AG506" s="1149" t="s">
        <v>1332</v>
      </c>
      <c r="AH506" s="1379"/>
      <c r="AI506" s="1379"/>
      <c r="AJ506" s="1379"/>
      <c r="AK506" s="1380"/>
      <c r="AZ506" s="2"/>
      <c r="BA506" s="2"/>
      <c r="BB506" s="2"/>
      <c r="BC506" s="2"/>
      <c r="BD506" s="2"/>
      <c r="BE506" s="2"/>
      <c r="BF506" s="2"/>
      <c r="BG506" s="2"/>
      <c r="BH506" s="2"/>
      <c r="BI506" s="2"/>
      <c r="BJ506" s="2"/>
      <c r="BK506" s="2"/>
      <c r="BL506" s="2"/>
      <c r="BM506" s="2"/>
      <c r="BN506" s="2"/>
    </row>
    <row r="507" spans="1:66" ht="13" customHeight="1">
      <c r="B507" s="1351"/>
      <c r="C507" s="1352"/>
      <c r="D507" s="1352"/>
      <c r="E507" s="1352"/>
      <c r="F507" s="1352"/>
      <c r="G507" s="1352"/>
      <c r="H507" s="1353"/>
      <c r="I507" s="2" t="s">
        <v>1342</v>
      </c>
      <c r="AC507" s="1310" t="s">
        <v>798</v>
      </c>
      <c r="AD507" s="1311"/>
      <c r="AE507" s="1311"/>
      <c r="AF507" s="1311"/>
      <c r="AG507" s="1149" t="s">
        <v>1332</v>
      </c>
      <c r="AH507" s="1379"/>
      <c r="AI507" s="1379"/>
      <c r="AJ507" s="1379"/>
      <c r="AK507" s="1380"/>
      <c r="AZ507" s="2"/>
      <c r="BA507" s="2"/>
      <c r="BB507" s="2"/>
      <c r="BC507" s="2"/>
      <c r="BD507" s="2"/>
      <c r="BE507" s="2"/>
      <c r="BF507" s="2"/>
      <c r="BG507" s="2"/>
      <c r="BH507" s="2"/>
      <c r="BI507" s="2"/>
      <c r="BJ507" s="2"/>
      <c r="BK507" s="2"/>
      <c r="BL507" s="2"/>
      <c r="BM507" s="2"/>
      <c r="BN507" s="2"/>
    </row>
    <row r="508" spans="1:66" ht="13" customHeight="1">
      <c r="B508" s="1351"/>
      <c r="C508" s="1352"/>
      <c r="D508" s="1352"/>
      <c r="E508" s="1352"/>
      <c r="F508" s="1352"/>
      <c r="G508" s="1352"/>
      <c r="H508" s="1353"/>
      <c r="I508" s="708" t="s">
        <v>233</v>
      </c>
      <c r="J508" s="32"/>
      <c r="K508" s="32"/>
      <c r="L508" s="1385" t="s">
        <v>1343</v>
      </c>
      <c r="M508" s="1386"/>
      <c r="N508" s="1386"/>
      <c r="O508" s="1386"/>
      <c r="P508" s="1386"/>
      <c r="Q508" s="1386"/>
      <c r="R508" s="1386"/>
      <c r="S508" s="1386"/>
      <c r="T508" s="1386"/>
      <c r="U508" s="1386"/>
      <c r="V508" s="1386"/>
      <c r="W508" s="1386"/>
      <c r="X508" s="1386"/>
      <c r="Y508" s="1386"/>
      <c r="Z508" s="1386"/>
      <c r="AA508" s="1386"/>
      <c r="AB508" s="1387"/>
      <c r="AC508" s="1343" t="s">
        <v>798</v>
      </c>
      <c r="AD508" s="1344"/>
      <c r="AE508" s="1344"/>
      <c r="AF508" s="1344"/>
      <c r="AG508" s="1170" t="s">
        <v>1332</v>
      </c>
      <c r="AH508" s="1379"/>
      <c r="AI508" s="1379"/>
      <c r="AJ508" s="1379"/>
      <c r="AK508" s="1380"/>
      <c r="AZ508" s="2"/>
      <c r="BA508" s="2"/>
      <c r="BB508" s="2"/>
      <c r="BC508" s="2"/>
      <c r="BD508" s="2"/>
      <c r="BE508" s="2"/>
      <c r="BF508" s="2"/>
      <c r="BG508" s="2"/>
      <c r="BH508" s="2"/>
      <c r="BI508" s="2"/>
      <c r="BJ508" s="2"/>
      <c r="BK508" s="2"/>
      <c r="BL508" s="2"/>
      <c r="BM508" s="2"/>
      <c r="BN508" s="2"/>
    </row>
    <row r="509" spans="1:66" ht="13" customHeight="1">
      <c r="B509" s="1174"/>
      <c r="C509" s="1155"/>
      <c r="D509" s="1155"/>
      <c r="E509" s="1155"/>
      <c r="F509" s="1155"/>
      <c r="G509" s="1155"/>
      <c r="H509" s="1156"/>
      <c r="I509" s="2" t="s">
        <v>1344</v>
      </c>
      <c r="AC509" s="1339" t="s">
        <v>1003</v>
      </c>
      <c r="AD509" s="1339"/>
      <c r="AE509" s="1339"/>
      <c r="AF509" s="1339"/>
      <c r="AG509" s="1149"/>
      <c r="AH509" s="1357"/>
      <c r="AI509" s="1357"/>
      <c r="AJ509" s="1357"/>
      <c r="AK509" s="1358"/>
      <c r="AZ509" s="2"/>
      <c r="BA509" s="2"/>
      <c r="BB509" s="2"/>
      <c r="BC509" s="2"/>
      <c r="BD509" s="2"/>
      <c r="BE509" s="2"/>
      <c r="BF509" s="2"/>
      <c r="BG509" s="2"/>
      <c r="BH509" s="2"/>
      <c r="BI509" s="2"/>
      <c r="BJ509" s="2"/>
      <c r="BK509" s="2"/>
      <c r="BL509" s="2"/>
      <c r="BM509" s="2"/>
      <c r="BN509" s="2"/>
    </row>
    <row r="510" spans="1:66" ht="13" customHeight="1">
      <c r="B510" s="1174"/>
      <c r="C510" s="1155"/>
      <c r="D510" s="1155"/>
      <c r="E510" s="1155"/>
      <c r="F510" s="1155"/>
      <c r="G510" s="1155"/>
      <c r="H510" s="1156"/>
      <c r="I510" t="s">
        <v>1345</v>
      </c>
      <c r="AC510" s="1310"/>
      <c r="AD510" s="1311"/>
      <c r="AE510" s="1311"/>
      <c r="AF510" s="1312"/>
      <c r="AG510" s="1149"/>
      <c r="AH510" s="1357"/>
      <c r="AI510" s="1357"/>
      <c r="AJ510" s="1357"/>
      <c r="AK510" s="1358"/>
      <c r="AZ510" s="2"/>
      <c r="BA510" s="2"/>
      <c r="BB510" s="2"/>
      <c r="BC510" s="2"/>
      <c r="BD510" s="2"/>
      <c r="BE510" s="2"/>
      <c r="BF510" s="2"/>
      <c r="BG510" s="2"/>
      <c r="BH510" s="2"/>
      <c r="BI510" s="2"/>
      <c r="BJ510" s="2"/>
      <c r="BK510" s="2"/>
      <c r="BL510" s="2"/>
      <c r="BM510" s="2"/>
      <c r="BN510" s="2"/>
    </row>
    <row r="511" spans="1:66" ht="13" customHeight="1">
      <c r="B511" s="1174"/>
      <c r="C511" s="1155"/>
      <c r="D511" s="1155"/>
      <c r="E511" s="1155"/>
      <c r="F511" s="1155"/>
      <c r="G511" s="1155"/>
      <c r="H511" s="1156"/>
      <c r="I511" t="s">
        <v>1346</v>
      </c>
      <c r="AC511" s="1159"/>
      <c r="AD511" s="1161"/>
      <c r="AE511" s="1161"/>
      <c r="AF511" s="1160"/>
      <c r="AG511" s="1149"/>
      <c r="AH511" s="1146"/>
      <c r="AI511" s="1146"/>
      <c r="AJ511" s="1146"/>
      <c r="AK511" s="1173"/>
      <c r="AZ511" s="2"/>
      <c r="BA511" s="2"/>
      <c r="BB511" s="2"/>
      <c r="BC511" s="2"/>
      <c r="BD511" s="2"/>
      <c r="BE511" s="2"/>
      <c r="BF511" s="2"/>
      <c r="BG511" s="2"/>
      <c r="BH511" s="2"/>
      <c r="BI511" s="2"/>
      <c r="BJ511" s="2"/>
      <c r="BK511" s="2"/>
      <c r="BL511" s="2"/>
      <c r="BM511" s="2"/>
      <c r="BN511" s="2"/>
    </row>
    <row r="512" spans="1:66" ht="13" customHeight="1">
      <c r="B512" s="1174"/>
      <c r="C512" s="1155"/>
      <c r="D512" s="1155"/>
      <c r="E512" s="1155"/>
      <c r="F512" s="1155"/>
      <c r="G512" s="1155"/>
      <c r="H512" s="1156"/>
      <c r="I512" s="709" t="s">
        <v>1347</v>
      </c>
      <c r="J512" s="32"/>
      <c r="K512" s="32"/>
      <c r="L512" s="32"/>
      <c r="M512" s="32"/>
      <c r="N512" s="32"/>
      <c r="O512" s="32"/>
      <c r="P512" s="32"/>
      <c r="Q512" s="32"/>
      <c r="R512" s="32"/>
      <c r="S512" s="32"/>
      <c r="T512" s="32"/>
      <c r="U512" s="32"/>
      <c r="V512" s="32"/>
      <c r="W512" s="32"/>
      <c r="X512" s="32"/>
      <c r="Y512" s="32"/>
      <c r="Z512" s="32"/>
      <c r="AA512" s="32"/>
      <c r="AB512" s="32"/>
      <c r="AC512" s="1402"/>
      <c r="AD512" s="1403"/>
      <c r="AE512" s="1403"/>
      <c r="AF512" s="1404"/>
      <c r="AG512" s="1170"/>
      <c r="AH512" s="1528"/>
      <c r="AI512" s="1528"/>
      <c r="AJ512" s="1528"/>
      <c r="AK512" s="1529"/>
      <c r="AZ512" s="2"/>
      <c r="BA512" s="2"/>
      <c r="BB512" s="2"/>
      <c r="BC512" s="2"/>
      <c r="BD512" s="2"/>
      <c r="BE512" s="2"/>
      <c r="BF512" s="2"/>
      <c r="BG512" s="2"/>
      <c r="BH512" s="2"/>
      <c r="BI512" s="2"/>
      <c r="BJ512" s="2"/>
      <c r="BK512" s="2"/>
      <c r="BL512" s="2"/>
      <c r="BM512" s="2"/>
      <c r="BN512" s="2" t="s">
        <v>1003</v>
      </c>
    </row>
    <row r="513" spans="2:66" ht="13" customHeight="1">
      <c r="B513" s="1174"/>
      <c r="C513" s="1155"/>
      <c r="D513" s="1155"/>
      <c r="E513" s="1155"/>
      <c r="F513" s="1155"/>
      <c r="G513" s="1155"/>
      <c r="H513" s="1156"/>
      <c r="I513" s="2"/>
      <c r="L513" s="6"/>
      <c r="M513" s="6"/>
      <c r="N513" s="6"/>
      <c r="O513" s="6"/>
      <c r="P513" s="6"/>
      <c r="Q513" s="6"/>
      <c r="R513" s="6"/>
      <c r="S513" s="6"/>
      <c r="T513" s="6"/>
      <c r="U513" s="6"/>
      <c r="V513" s="6"/>
      <c r="W513" s="6"/>
      <c r="X513" s="1148"/>
      <c r="Y513" s="1148"/>
      <c r="Z513" s="1148"/>
      <c r="AA513" s="1148"/>
      <c r="AB513" s="803"/>
      <c r="AC513" s="1623" t="s">
        <v>1331</v>
      </c>
      <c r="AD513" s="1383"/>
      <c r="AE513" s="1383"/>
      <c r="AF513" s="1383"/>
      <c r="AG513" s="1170" t="s">
        <v>1332</v>
      </c>
      <c r="AH513" s="1383" t="s">
        <v>1333</v>
      </c>
      <c r="AI513" s="1383"/>
      <c r="AJ513" s="1383"/>
      <c r="AK513" s="1384"/>
      <c r="AZ513" s="2"/>
      <c r="BA513" s="2"/>
      <c r="BB513" s="2"/>
      <c r="BC513" s="2"/>
      <c r="BD513" s="2"/>
      <c r="BE513" s="2"/>
      <c r="BF513" s="2"/>
      <c r="BG513" s="2"/>
      <c r="BH513" s="2"/>
      <c r="BI513" s="2"/>
      <c r="BJ513" s="2"/>
      <c r="BK513" s="2"/>
      <c r="BL513" s="2"/>
      <c r="BM513" s="2"/>
      <c r="BN513" s="2" t="s">
        <v>1348</v>
      </c>
    </row>
    <row r="514" spans="2:66" ht="13" customHeight="1">
      <c r="B514" s="1348" t="s">
        <v>1349</v>
      </c>
      <c r="C514" s="1349"/>
      <c r="D514" s="1349"/>
      <c r="E514" s="1349"/>
      <c r="F514" s="1349"/>
      <c r="G514" s="1349"/>
      <c r="H514" s="1350"/>
      <c r="I514" s="30" t="s">
        <v>1350</v>
      </c>
      <c r="J514" s="30"/>
      <c r="K514" s="30"/>
      <c r="L514" s="30"/>
      <c r="M514" s="30"/>
      <c r="N514" s="30"/>
      <c r="O514" s="30"/>
      <c r="P514" s="30"/>
      <c r="Q514" s="30"/>
      <c r="R514" s="30"/>
      <c r="S514" s="30"/>
      <c r="T514" s="30"/>
      <c r="U514" s="30"/>
      <c r="V514" s="30"/>
      <c r="W514" s="30"/>
      <c r="AC514" s="1343">
        <v>1</v>
      </c>
      <c r="AD514" s="1344"/>
      <c r="AE514" s="1344"/>
      <c r="AF514" s="1344"/>
      <c r="AG514" s="1149" t="s">
        <v>1332</v>
      </c>
      <c r="AH514" s="1379">
        <v>2025</v>
      </c>
      <c r="AI514" s="1379"/>
      <c r="AJ514" s="1379"/>
      <c r="AK514" s="1380"/>
      <c r="AZ514" s="2"/>
      <c r="BA514" s="2"/>
      <c r="BB514" s="2"/>
      <c r="BC514" s="2"/>
      <c r="BD514" s="2"/>
      <c r="BE514" s="2"/>
      <c r="BF514" s="2"/>
      <c r="BG514" s="2"/>
      <c r="BH514" s="2"/>
      <c r="BI514" s="2"/>
      <c r="BJ514" s="2"/>
      <c r="BK514" s="2"/>
      <c r="BL514" s="2"/>
      <c r="BM514" s="2"/>
      <c r="BN514" s="2" t="s">
        <v>1351</v>
      </c>
    </row>
    <row r="515" spans="2:66" ht="13" customHeight="1">
      <c r="B515" s="1351"/>
      <c r="C515" s="1352"/>
      <c r="D515" s="1352"/>
      <c r="E515" s="1352"/>
      <c r="F515" s="1352"/>
      <c r="G515" s="1352"/>
      <c r="H515" s="1353"/>
      <c r="I515" t="s">
        <v>1352</v>
      </c>
      <c r="AC515" s="1343">
        <v>1</v>
      </c>
      <c r="AD515" s="1344"/>
      <c r="AE515" s="1344"/>
      <c r="AF515" s="1344"/>
      <c r="AG515" s="1149" t="s">
        <v>1332</v>
      </c>
      <c r="AH515" s="1379">
        <v>2025</v>
      </c>
      <c r="AI515" s="1379"/>
      <c r="AJ515" s="1379"/>
      <c r="AK515" s="1380"/>
      <c r="AZ515" s="2"/>
      <c r="BA515" s="2"/>
      <c r="BB515" s="2"/>
      <c r="BC515" s="2"/>
      <c r="BD515" s="2"/>
      <c r="BE515" s="2"/>
      <c r="BF515" s="2"/>
      <c r="BG515" s="2"/>
      <c r="BH515" s="2"/>
      <c r="BI515" s="2"/>
      <c r="BJ515" s="2"/>
      <c r="BK515" s="2"/>
      <c r="BL515" s="2"/>
      <c r="BM515" s="2"/>
      <c r="BN515" s="2" t="s">
        <v>1353</v>
      </c>
    </row>
    <row r="516" spans="2:66" ht="13" customHeight="1">
      <c r="B516" s="1351"/>
      <c r="C516" s="1352"/>
      <c r="D516" s="1352"/>
      <c r="E516" s="1352"/>
      <c r="F516" s="1352"/>
      <c r="G516" s="1352"/>
      <c r="H516" s="1353"/>
      <c r="I516" s="32" t="s">
        <v>1354</v>
      </c>
      <c r="J516" s="32"/>
      <c r="K516" s="32"/>
      <c r="L516" s="32"/>
      <c r="M516" s="32"/>
      <c r="N516" s="32"/>
      <c r="O516" s="32"/>
      <c r="P516" s="32"/>
      <c r="Q516" s="32"/>
      <c r="R516" s="32"/>
      <c r="S516" s="32"/>
      <c r="T516" s="32"/>
      <c r="U516" s="32"/>
      <c r="V516" s="32"/>
      <c r="W516" s="32"/>
      <c r="X516" s="32"/>
      <c r="Y516" s="32"/>
      <c r="Z516" s="32"/>
      <c r="AA516" s="32"/>
      <c r="AB516" s="32"/>
      <c r="AC516" s="1343">
        <v>10</v>
      </c>
      <c r="AD516" s="1344"/>
      <c r="AE516" s="1344"/>
      <c r="AF516" s="1344"/>
      <c r="AG516" s="1170" t="s">
        <v>1332</v>
      </c>
      <c r="AH516" s="1379">
        <v>2025</v>
      </c>
      <c r="AI516" s="1379"/>
      <c r="AJ516" s="1379"/>
      <c r="AK516" s="1380"/>
      <c r="AZ516" s="2"/>
      <c r="BA516" s="2"/>
      <c r="BB516" s="2"/>
      <c r="BC516" s="2"/>
      <c r="BD516" s="2"/>
      <c r="BE516" s="2"/>
      <c r="BF516" s="2"/>
      <c r="BG516" s="2"/>
      <c r="BH516" s="2"/>
      <c r="BI516" s="2"/>
      <c r="BJ516" s="2"/>
      <c r="BK516" s="2"/>
      <c r="BL516" s="2"/>
      <c r="BM516" s="2"/>
      <c r="BN516" s="2" t="s">
        <v>1355</v>
      </c>
    </row>
    <row r="517" spans="2:66" ht="13" customHeight="1">
      <c r="B517" s="1348" t="s">
        <v>1356</v>
      </c>
      <c r="C517" s="1349"/>
      <c r="D517" s="1349"/>
      <c r="E517" s="1349"/>
      <c r="F517" s="1349"/>
      <c r="G517" s="1349"/>
      <c r="H517" s="1350"/>
      <c r="I517" s="30" t="s">
        <v>1350</v>
      </c>
      <c r="J517" s="30"/>
      <c r="K517" s="30"/>
      <c r="L517" s="30"/>
      <c r="M517" s="30"/>
      <c r="N517" s="30"/>
      <c r="O517" s="30"/>
      <c r="P517" s="30"/>
      <c r="Q517" s="30"/>
      <c r="R517" s="30"/>
      <c r="S517" s="30"/>
      <c r="T517" s="30"/>
      <c r="U517" s="30"/>
      <c r="V517" s="30"/>
      <c r="W517" s="30"/>
      <c r="X517" s="30"/>
      <c r="Y517" s="30"/>
      <c r="Z517" s="30"/>
      <c r="AA517" s="30"/>
      <c r="AB517" s="30"/>
      <c r="AC517" s="1310">
        <v>1</v>
      </c>
      <c r="AD517" s="1311"/>
      <c r="AE517" s="1311"/>
      <c r="AF517" s="1311"/>
      <c r="AG517" s="1172" t="s">
        <v>1332</v>
      </c>
      <c r="AH517" s="1379">
        <v>2025</v>
      </c>
      <c r="AI517" s="1379"/>
      <c r="AJ517" s="1379"/>
      <c r="AK517" s="1380"/>
      <c r="AZ517" s="2"/>
      <c r="BB517" s="2"/>
      <c r="BC517" s="2"/>
      <c r="BD517" s="2"/>
      <c r="BE517" s="2"/>
      <c r="BF517" s="2"/>
      <c r="BG517" s="2"/>
      <c r="BH517" s="2"/>
      <c r="BI517" s="2"/>
      <c r="BJ517" s="2"/>
      <c r="BK517" s="2"/>
      <c r="BL517" s="2"/>
      <c r="BM517" s="2"/>
      <c r="BN517" s="2" t="s">
        <v>1357</v>
      </c>
    </row>
    <row r="518" spans="2:66" ht="13" customHeight="1">
      <c r="B518" s="1351"/>
      <c r="C518" s="1352"/>
      <c r="D518" s="1352"/>
      <c r="E518" s="1352"/>
      <c r="F518" s="1352"/>
      <c r="G518" s="1352"/>
      <c r="H518" s="1353"/>
      <c r="I518" t="s">
        <v>1352</v>
      </c>
      <c r="AC518" s="1343">
        <v>1</v>
      </c>
      <c r="AD518" s="1344"/>
      <c r="AE518" s="1344"/>
      <c r="AF518" s="1344"/>
      <c r="AG518" s="1149" t="s">
        <v>1332</v>
      </c>
      <c r="AH518" s="1379">
        <v>2025</v>
      </c>
      <c r="AI518" s="1379"/>
      <c r="AJ518" s="1379"/>
      <c r="AK518" s="1380"/>
      <c r="BB518" s="2"/>
      <c r="BC518" s="2"/>
      <c r="BD518" s="2"/>
      <c r="BE518" s="2"/>
      <c r="BF518" s="2"/>
      <c r="BG518" s="2"/>
      <c r="BH518" s="2"/>
      <c r="BI518" s="2"/>
      <c r="BJ518" s="2"/>
      <c r="BK518" s="2"/>
      <c r="BL518" s="2"/>
      <c r="BM518" s="2"/>
      <c r="BN518" s="2" t="s">
        <v>1358</v>
      </c>
    </row>
    <row r="519" spans="2:66" ht="13" customHeight="1">
      <c r="B519" s="1354"/>
      <c r="C519" s="1355"/>
      <c r="D519" s="1355"/>
      <c r="E519" s="1355"/>
      <c r="F519" s="1355"/>
      <c r="G519" s="1355"/>
      <c r="H519" s="1356"/>
      <c r="I519" s="32" t="s">
        <v>1354</v>
      </c>
      <c r="J519" s="32"/>
      <c r="K519" s="32"/>
      <c r="L519" s="32"/>
      <c r="M519" s="32"/>
      <c r="N519" s="32"/>
      <c r="O519" s="32"/>
      <c r="P519" s="32"/>
      <c r="Q519" s="32"/>
      <c r="R519" s="32"/>
      <c r="S519" s="32"/>
      <c r="T519" s="32"/>
      <c r="U519" s="32"/>
      <c r="V519" s="32"/>
      <c r="W519" s="32"/>
      <c r="X519" s="32"/>
      <c r="Y519" s="32"/>
      <c r="Z519" s="32"/>
      <c r="AA519" s="32"/>
      <c r="AB519" s="32"/>
      <c r="AC519" s="1343">
        <v>7</v>
      </c>
      <c r="AD519" s="1344"/>
      <c r="AE519" s="1344"/>
      <c r="AF519" s="1344"/>
      <c r="AG519" s="1170" t="s">
        <v>1332</v>
      </c>
      <c r="AH519" s="1379">
        <v>2027</v>
      </c>
      <c r="AI519" s="1379"/>
      <c r="AJ519" s="1379"/>
      <c r="AK519" s="1380"/>
      <c r="BB519" s="2"/>
      <c r="BC519" s="2"/>
      <c r="BD519" s="2"/>
      <c r="BE519" s="2"/>
      <c r="BF519" s="2"/>
      <c r="BG519" s="2"/>
      <c r="BH519" s="2"/>
      <c r="BI519" s="2"/>
      <c r="BJ519" s="2"/>
      <c r="BK519" s="2"/>
      <c r="BL519" s="2"/>
      <c r="BM519" s="2"/>
      <c r="BN519" s="2" t="s">
        <v>1359</v>
      </c>
    </row>
    <row r="520" spans="2:66" ht="13" customHeight="1">
      <c r="B520" s="1348" t="s">
        <v>1360</v>
      </c>
      <c r="C520" s="1349"/>
      <c r="D520" s="1349"/>
      <c r="E520" s="1349"/>
      <c r="F520" s="1349"/>
      <c r="G520" s="1349"/>
      <c r="H520" s="1350"/>
      <c r="I520" s="29" t="s">
        <v>1361</v>
      </c>
      <c r="J520" s="30"/>
      <c r="K520" s="30"/>
      <c r="L520" s="30"/>
      <c r="M520" s="30"/>
      <c r="N520" s="30"/>
      <c r="O520" s="1385" t="s">
        <v>1362</v>
      </c>
      <c r="P520" s="1386"/>
      <c r="Q520" s="1386"/>
      <c r="R520" s="1386"/>
      <c r="S520" s="1386"/>
      <c r="T520" s="1386"/>
      <c r="U520" s="1386"/>
      <c r="V520" s="1386"/>
      <c r="W520" s="1386"/>
      <c r="X520" s="1386"/>
      <c r="Y520" s="1386"/>
      <c r="Z520" s="1386"/>
      <c r="AA520" s="1386"/>
      <c r="AB520" s="39"/>
      <c r="AC520" s="1310" t="s">
        <v>798</v>
      </c>
      <c r="AD520" s="1311"/>
      <c r="AE520" s="1311"/>
      <c r="AF520" s="1311"/>
      <c r="AG520" s="1172" t="s">
        <v>1332</v>
      </c>
      <c r="AH520" s="1379"/>
      <c r="AI520" s="1379"/>
      <c r="AJ520" s="1379"/>
      <c r="AK520" s="1380"/>
      <c r="AZ520" s="2"/>
      <c r="BB520" s="2"/>
      <c r="BC520" s="2"/>
      <c r="BD520" s="2"/>
      <c r="BE520" s="2"/>
      <c r="BF520" s="2"/>
      <c r="BG520" s="2"/>
      <c r="BH520" s="2"/>
      <c r="BI520" s="2"/>
      <c r="BJ520" s="2"/>
      <c r="BK520" s="2"/>
      <c r="BL520" s="2"/>
      <c r="BM520" s="2"/>
      <c r="BN520" s="2" t="s">
        <v>1363</v>
      </c>
    </row>
    <row r="521" spans="2:66" ht="13" customHeight="1">
      <c r="B521" s="1351"/>
      <c r="C521" s="1352"/>
      <c r="D521" s="1352"/>
      <c r="E521" s="1352"/>
      <c r="F521" s="1352"/>
      <c r="G521" s="1352"/>
      <c r="H521" s="1353"/>
      <c r="I521" s="66" t="s">
        <v>44</v>
      </c>
      <c r="AB521" s="42"/>
      <c r="AC521" s="1343" t="s">
        <v>798</v>
      </c>
      <c r="AD521" s="1344"/>
      <c r="AE521" s="1344"/>
      <c r="AF521" s="1344"/>
      <c r="AG521" s="1149" t="s">
        <v>1332</v>
      </c>
      <c r="AH521" s="1379"/>
      <c r="AI521" s="1379"/>
      <c r="AJ521" s="1379"/>
      <c r="AK521" s="1380"/>
      <c r="AZ521" s="2"/>
      <c r="BB521" s="2"/>
      <c r="BC521" s="2"/>
      <c r="BD521" s="2"/>
      <c r="BE521" s="2"/>
      <c r="BF521" s="2"/>
      <c r="BG521" s="2"/>
      <c r="BH521" s="2"/>
      <c r="BI521" s="2"/>
      <c r="BJ521" s="2"/>
      <c r="BK521" s="2"/>
      <c r="BL521" s="2"/>
      <c r="BM521" s="2"/>
      <c r="BN521" s="2" t="s">
        <v>1364</v>
      </c>
    </row>
    <row r="522" spans="2:66" ht="13" customHeight="1">
      <c r="B522" s="1351"/>
      <c r="C522" s="1352"/>
      <c r="D522" s="1352"/>
      <c r="E522" s="1352"/>
      <c r="F522" s="1352"/>
      <c r="G522" s="1352"/>
      <c r="H522" s="1353"/>
      <c r="I522" s="31" t="s">
        <v>1365</v>
      </c>
      <c r="J522" s="32"/>
      <c r="K522" s="32"/>
      <c r="L522" s="32"/>
      <c r="M522" s="32"/>
      <c r="N522" s="32"/>
      <c r="O522" s="32"/>
      <c r="P522" s="32"/>
      <c r="Q522" s="32"/>
      <c r="R522" s="32"/>
      <c r="S522" s="32"/>
      <c r="T522" s="32"/>
      <c r="U522" s="32"/>
      <c r="V522" s="32"/>
      <c r="W522" s="32"/>
      <c r="X522" s="32"/>
      <c r="Y522" s="32"/>
      <c r="Z522" s="32"/>
      <c r="AA522" s="32"/>
      <c r="AB522" s="33"/>
      <c r="AC522" s="1343">
        <v>1</v>
      </c>
      <c r="AD522" s="1344"/>
      <c r="AE522" s="1344"/>
      <c r="AF522" s="1344"/>
      <c r="AG522" s="1170" t="s">
        <v>1332</v>
      </c>
      <c r="AH522" s="1379">
        <v>2025</v>
      </c>
      <c r="AI522" s="1379"/>
      <c r="AJ522" s="1379"/>
      <c r="AK522" s="1380"/>
      <c r="AZ522" s="2"/>
      <c r="BA522" s="2"/>
      <c r="BB522" s="2"/>
      <c r="BC522" s="2"/>
      <c r="BD522" s="2"/>
      <c r="BE522" s="2"/>
      <c r="BF522" s="2"/>
      <c r="BG522" s="2"/>
      <c r="BH522" s="2"/>
      <c r="BI522" s="2"/>
      <c r="BJ522" s="2"/>
      <c r="BK522" s="2"/>
      <c r="BL522" s="2"/>
      <c r="BM522" s="2"/>
      <c r="BN522" s="2" t="s">
        <v>1366</v>
      </c>
    </row>
    <row r="523" spans="2:66" ht="13" customHeight="1">
      <c r="B523" s="1351"/>
      <c r="C523" s="1352"/>
      <c r="D523" s="1352"/>
      <c r="E523" s="1352"/>
      <c r="F523" s="1352"/>
      <c r="G523" s="1352"/>
      <c r="H523" s="1353"/>
      <c r="I523" s="30" t="s">
        <v>1367</v>
      </c>
      <c r="J523" s="30"/>
      <c r="K523" s="30"/>
      <c r="L523" s="30"/>
      <c r="M523" s="30"/>
      <c r="N523" s="30"/>
      <c r="O523" s="1385" t="s">
        <v>1368</v>
      </c>
      <c r="P523" s="1386"/>
      <c r="Q523" s="1386"/>
      <c r="R523" s="1386"/>
      <c r="S523" s="1386"/>
      <c r="T523" s="1386"/>
      <c r="U523" s="1386"/>
      <c r="V523" s="1386"/>
      <c r="W523" s="1386"/>
      <c r="X523" s="1386"/>
      <c r="Y523" s="1386"/>
      <c r="Z523" s="1386"/>
      <c r="AA523" s="1386"/>
      <c r="AC523" s="1343" t="s">
        <v>798</v>
      </c>
      <c r="AD523" s="1344"/>
      <c r="AE523" s="1344"/>
      <c r="AF523" s="1344"/>
      <c r="AG523" s="1149" t="s">
        <v>1332</v>
      </c>
      <c r="AH523" s="1379"/>
      <c r="AI523" s="1379"/>
      <c r="AJ523" s="1379"/>
      <c r="AK523" s="1380"/>
      <c r="AZ523" s="2"/>
      <c r="BA523" s="2"/>
      <c r="BB523" s="2"/>
      <c r="BC523" s="2"/>
      <c r="BD523" s="2"/>
      <c r="BE523" s="2"/>
      <c r="BF523" s="2"/>
      <c r="BG523" s="2"/>
      <c r="BH523" s="2"/>
      <c r="BI523" s="2"/>
      <c r="BJ523" s="2"/>
      <c r="BK523" s="2"/>
      <c r="BL523" s="2"/>
      <c r="BM523" s="2"/>
      <c r="BN523" s="2" t="s">
        <v>1369</v>
      </c>
    </row>
    <row r="524" spans="2:66" ht="13" customHeight="1">
      <c r="B524" s="1351"/>
      <c r="C524" s="1352"/>
      <c r="D524" s="1352"/>
      <c r="E524" s="1352"/>
      <c r="F524" s="1352"/>
      <c r="G524" s="1352"/>
      <c r="H524" s="1353"/>
      <c r="I524" t="s">
        <v>44</v>
      </c>
      <c r="AC524" s="1343">
        <v>2</v>
      </c>
      <c r="AD524" s="1344"/>
      <c r="AE524" s="1344"/>
      <c r="AF524" s="1344"/>
      <c r="AG524" s="1149" t="s">
        <v>1332</v>
      </c>
      <c r="AH524" s="1379">
        <v>2024</v>
      </c>
      <c r="AI524" s="1379"/>
      <c r="AJ524" s="1379"/>
      <c r="AK524" s="1380"/>
      <c r="AZ524" s="2"/>
      <c r="BA524" s="2"/>
      <c r="BB524" s="2"/>
      <c r="BC524" s="2"/>
      <c r="BD524" s="2"/>
      <c r="BE524" s="2"/>
      <c r="BF524" s="2"/>
      <c r="BG524" s="2"/>
      <c r="BH524" s="2"/>
      <c r="BI524" s="2"/>
      <c r="BJ524" s="2"/>
      <c r="BK524" s="2"/>
      <c r="BL524" s="2"/>
      <c r="BM524" s="2"/>
      <c r="BN524" s="2" t="s">
        <v>1370</v>
      </c>
    </row>
    <row r="525" spans="2:66" ht="13" customHeight="1">
      <c r="B525" s="1351"/>
      <c r="C525" s="1352"/>
      <c r="D525" s="1352"/>
      <c r="E525" s="1352"/>
      <c r="F525" s="1352"/>
      <c r="G525" s="1352"/>
      <c r="H525" s="1353"/>
      <c r="I525" s="32" t="s">
        <v>1365</v>
      </c>
      <c r="J525" s="32"/>
      <c r="K525" s="32"/>
      <c r="L525" s="32"/>
      <c r="M525" s="32"/>
      <c r="N525" s="32"/>
      <c r="O525" s="32"/>
      <c r="P525" s="32"/>
      <c r="Q525" s="32"/>
      <c r="R525" s="32"/>
      <c r="S525" s="32"/>
      <c r="T525" s="32"/>
      <c r="U525" s="32"/>
      <c r="V525" s="32"/>
      <c r="W525" s="32"/>
      <c r="X525" s="32"/>
      <c r="Y525" s="32"/>
      <c r="Z525" s="32"/>
      <c r="AA525" s="32"/>
      <c r="AB525" s="32"/>
      <c r="AC525" s="1343">
        <v>2</v>
      </c>
      <c r="AD525" s="1344"/>
      <c r="AE525" s="1344"/>
      <c r="AF525" s="1344"/>
      <c r="AG525" s="1170" t="s">
        <v>1332</v>
      </c>
      <c r="AH525" s="1379">
        <v>2025</v>
      </c>
      <c r="AI525" s="1379"/>
      <c r="AJ525" s="1379"/>
      <c r="AK525" s="1380"/>
      <c r="AZ525" s="2"/>
      <c r="BA525" s="2"/>
      <c r="BB525" s="2"/>
      <c r="BC525" s="2"/>
      <c r="BD525" s="2"/>
      <c r="BE525" s="2"/>
      <c r="BF525" s="2"/>
      <c r="BG525" s="2"/>
      <c r="BH525" s="2"/>
      <c r="BI525" s="2"/>
      <c r="BJ525" s="2"/>
      <c r="BK525" s="2"/>
      <c r="BL525" s="2"/>
      <c r="BM525" s="2"/>
      <c r="BN525" s="2" t="s">
        <v>1371</v>
      </c>
    </row>
    <row r="526" spans="2:66" ht="13" customHeight="1">
      <c r="B526" s="1351"/>
      <c r="C526" s="1352"/>
      <c r="D526" s="1352"/>
      <c r="E526" s="1352"/>
      <c r="F526" s="1352"/>
      <c r="G526" s="1352"/>
      <c r="H526" s="1353"/>
      <c r="I526" s="30" t="s">
        <v>1367</v>
      </c>
      <c r="J526" s="30"/>
      <c r="K526" s="30"/>
      <c r="L526" s="30"/>
      <c r="M526" s="30"/>
      <c r="N526" s="30"/>
      <c r="O526" s="1385" t="s">
        <v>1343</v>
      </c>
      <c r="P526" s="1386"/>
      <c r="Q526" s="1386"/>
      <c r="R526" s="1386"/>
      <c r="S526" s="1386"/>
      <c r="T526" s="1386"/>
      <c r="U526" s="1386"/>
      <c r="V526" s="1386"/>
      <c r="W526" s="1386"/>
      <c r="X526" s="1386"/>
      <c r="Y526" s="1386"/>
      <c r="Z526" s="1386"/>
      <c r="AA526" s="1386"/>
      <c r="AC526" s="1343" t="s">
        <v>798</v>
      </c>
      <c r="AD526" s="1344"/>
      <c r="AE526" s="1344"/>
      <c r="AF526" s="1344"/>
      <c r="AG526" s="1149" t="s">
        <v>1332</v>
      </c>
      <c r="AH526" s="1379"/>
      <c r="AI526" s="1379"/>
      <c r="AJ526" s="1379"/>
      <c r="AK526" s="1380"/>
      <c r="AZ526" s="2"/>
      <c r="BA526" s="2"/>
      <c r="BB526" s="2"/>
      <c r="BC526" s="2"/>
      <c r="BD526" s="2"/>
      <c r="BE526" s="2"/>
      <c r="BF526" s="2"/>
      <c r="BG526" s="2"/>
      <c r="BH526" s="2"/>
      <c r="BI526" s="2"/>
      <c r="BJ526" s="2"/>
      <c r="BK526" s="2"/>
      <c r="BL526" s="2"/>
      <c r="BM526" s="2"/>
      <c r="BN526" s="2" t="s">
        <v>1372</v>
      </c>
    </row>
    <row r="527" spans="2:66" ht="13" customHeight="1">
      <c r="B527" s="1351"/>
      <c r="C527" s="1352"/>
      <c r="D527" s="1352"/>
      <c r="E527" s="1352"/>
      <c r="F527" s="1352"/>
      <c r="G527" s="1352"/>
      <c r="H527" s="1353"/>
      <c r="I527" t="s">
        <v>44</v>
      </c>
      <c r="AC527" s="1343" t="s">
        <v>798</v>
      </c>
      <c r="AD527" s="1344"/>
      <c r="AE527" s="1344"/>
      <c r="AF527" s="1344"/>
      <c r="AG527" s="1149" t="s">
        <v>1332</v>
      </c>
      <c r="AH527" s="1379"/>
      <c r="AI527" s="1379"/>
      <c r="AJ527" s="1379"/>
      <c r="AK527" s="1380"/>
      <c r="AZ527" s="2"/>
      <c r="BA527" s="2"/>
      <c r="BB527" s="2"/>
      <c r="BC527" s="2"/>
      <c r="BD527" s="2"/>
      <c r="BE527" s="2"/>
      <c r="BF527" s="2"/>
      <c r="BG527" s="2"/>
      <c r="BH527" s="2"/>
      <c r="BI527" s="2"/>
      <c r="BJ527" s="2"/>
      <c r="BK527" s="2"/>
      <c r="BL527" s="2"/>
      <c r="BM527" s="2"/>
      <c r="BN527" s="2" t="s">
        <v>1373</v>
      </c>
    </row>
    <row r="528" spans="2:66" ht="13" customHeight="1">
      <c r="B528" s="1351"/>
      <c r="C528" s="1352"/>
      <c r="D528" s="1352"/>
      <c r="E528" s="1352"/>
      <c r="F528" s="1352"/>
      <c r="G528" s="1352"/>
      <c r="H528" s="1353"/>
      <c r="I528" s="32" t="s">
        <v>1365</v>
      </c>
      <c r="J528" s="32"/>
      <c r="K528" s="32"/>
      <c r="L528" s="32"/>
      <c r="M528" s="32"/>
      <c r="N528" s="32"/>
      <c r="O528" s="32"/>
      <c r="P528" s="32"/>
      <c r="Q528" s="32"/>
      <c r="R528" s="32"/>
      <c r="S528" s="32"/>
      <c r="T528" s="32"/>
      <c r="U528" s="32"/>
      <c r="V528" s="32"/>
      <c r="W528" s="32"/>
      <c r="X528" s="32"/>
      <c r="Y528" s="32"/>
      <c r="Z528" s="32"/>
      <c r="AA528" s="32"/>
      <c r="AB528" s="32"/>
      <c r="AC528" s="1343" t="s">
        <v>798</v>
      </c>
      <c r="AD528" s="1344"/>
      <c r="AE528" s="1344"/>
      <c r="AF528" s="1344"/>
      <c r="AG528" s="1170" t="s">
        <v>1332</v>
      </c>
      <c r="AH528" s="1379"/>
      <c r="AI528" s="1379"/>
      <c r="AJ528" s="1379"/>
      <c r="AK528" s="1380"/>
      <c r="AZ528" s="2"/>
      <c r="BA528" s="2"/>
      <c r="BB528" s="2"/>
      <c r="BC528" s="2"/>
      <c r="BD528" s="2"/>
      <c r="BE528" s="2"/>
      <c r="BF528" s="2"/>
      <c r="BG528" s="2"/>
      <c r="BH528" s="2"/>
      <c r="BI528" s="2"/>
      <c r="BJ528" s="2"/>
      <c r="BK528" s="2"/>
      <c r="BL528" s="2"/>
      <c r="BM528" s="2"/>
      <c r="BN528" s="2" t="s">
        <v>1374</v>
      </c>
    </row>
    <row r="529" spans="1:66" ht="13" customHeight="1">
      <c r="B529" s="1351"/>
      <c r="C529" s="1352"/>
      <c r="D529" s="1352"/>
      <c r="E529" s="1352"/>
      <c r="F529" s="1352"/>
      <c r="G529" s="1352"/>
      <c r="H529" s="1353"/>
      <c r="I529" s="30" t="s">
        <v>1367</v>
      </c>
      <c r="J529" s="30"/>
      <c r="K529" s="30"/>
      <c r="L529" s="30"/>
      <c r="M529" s="30"/>
      <c r="N529" s="30"/>
      <c r="O529" s="1385" t="s">
        <v>1343</v>
      </c>
      <c r="P529" s="1386"/>
      <c r="Q529" s="1386"/>
      <c r="R529" s="1386"/>
      <c r="S529" s="1386"/>
      <c r="T529" s="1386"/>
      <c r="U529" s="1386"/>
      <c r="V529" s="1386"/>
      <c r="W529" s="1386"/>
      <c r="X529" s="1386"/>
      <c r="Y529" s="1386"/>
      <c r="Z529" s="1386"/>
      <c r="AA529" s="1386"/>
      <c r="AC529" s="1343" t="s">
        <v>798</v>
      </c>
      <c r="AD529" s="1344"/>
      <c r="AE529" s="1344"/>
      <c r="AF529" s="1344"/>
      <c r="AG529" s="1149" t="s">
        <v>1332</v>
      </c>
      <c r="AH529" s="1379"/>
      <c r="AI529" s="1379"/>
      <c r="AJ529" s="1379"/>
      <c r="AK529" s="1380"/>
      <c r="AZ529" s="2"/>
      <c r="BA529" s="2"/>
      <c r="BB529" s="2"/>
      <c r="BC529" s="2"/>
      <c r="BD529" s="2"/>
      <c r="BE529" s="2"/>
      <c r="BF529" s="2"/>
      <c r="BG529" s="2"/>
      <c r="BH529" s="2"/>
      <c r="BI529" s="2"/>
      <c r="BJ529" s="2"/>
      <c r="BK529" s="2"/>
      <c r="BL529" s="2"/>
      <c r="BM529" s="2"/>
      <c r="BN529" s="2" t="s">
        <v>1375</v>
      </c>
    </row>
    <row r="530" spans="1:66" ht="13" customHeight="1">
      <c r="B530" s="1351"/>
      <c r="C530" s="1352"/>
      <c r="D530" s="1352"/>
      <c r="E530" s="1352"/>
      <c r="F530" s="1352"/>
      <c r="G530" s="1352"/>
      <c r="H530" s="1353"/>
      <c r="I530" t="s">
        <v>44</v>
      </c>
      <c r="AC530" s="1343" t="s">
        <v>798</v>
      </c>
      <c r="AD530" s="1344"/>
      <c r="AE530" s="1344"/>
      <c r="AF530" s="1344"/>
      <c r="AG530" s="1149" t="s">
        <v>1332</v>
      </c>
      <c r="AH530" s="1379"/>
      <c r="AI530" s="1379"/>
      <c r="AJ530" s="1379"/>
      <c r="AK530" s="1380"/>
      <c r="AZ530" s="2"/>
      <c r="BA530" s="2"/>
      <c r="BB530" s="2"/>
      <c r="BC530" s="2"/>
      <c r="BD530" s="2"/>
      <c r="BE530" s="2"/>
      <c r="BF530" s="2"/>
      <c r="BG530" s="2"/>
      <c r="BH530" s="2"/>
      <c r="BI530" s="2"/>
      <c r="BJ530" s="2"/>
      <c r="BK530" s="2"/>
      <c r="BL530" s="2"/>
      <c r="BM530" s="2"/>
      <c r="BN530" s="2" t="s">
        <v>1376</v>
      </c>
    </row>
    <row r="531" spans="1:66" ht="13" customHeight="1">
      <c r="B531" s="1351"/>
      <c r="C531" s="1352"/>
      <c r="D531" s="1352"/>
      <c r="E531" s="1352"/>
      <c r="F531" s="1352"/>
      <c r="G531" s="1352"/>
      <c r="H531" s="1353"/>
      <c r="I531" s="32" t="s">
        <v>1365</v>
      </c>
      <c r="J531" s="32"/>
      <c r="K531" s="32"/>
      <c r="L531" s="32"/>
      <c r="M531" s="32"/>
      <c r="N531" s="32"/>
      <c r="O531" s="32"/>
      <c r="P531" s="32"/>
      <c r="Q531" s="32"/>
      <c r="R531" s="32"/>
      <c r="S531" s="32"/>
      <c r="T531" s="32"/>
      <c r="U531" s="32"/>
      <c r="V531" s="32"/>
      <c r="W531" s="32"/>
      <c r="X531" s="32"/>
      <c r="Y531" s="32"/>
      <c r="Z531" s="32"/>
      <c r="AA531" s="32"/>
      <c r="AB531" s="32"/>
      <c r="AC531" s="1343" t="s">
        <v>798</v>
      </c>
      <c r="AD531" s="1344"/>
      <c r="AE531" s="1344"/>
      <c r="AF531" s="1344"/>
      <c r="AG531" s="1170" t="s">
        <v>1332</v>
      </c>
      <c r="AH531" s="1379"/>
      <c r="AI531" s="1379"/>
      <c r="AJ531" s="1379"/>
      <c r="AK531" s="1380"/>
      <c r="AZ531" s="2"/>
      <c r="BA531" s="2"/>
      <c r="BB531" s="2"/>
      <c r="BC531" s="2"/>
      <c r="BD531" s="2"/>
      <c r="BE531" s="2"/>
      <c r="BF531" s="2"/>
      <c r="BG531" s="2"/>
      <c r="BH531" s="2"/>
      <c r="BI531" s="2"/>
      <c r="BJ531" s="2"/>
      <c r="BK531" s="2"/>
      <c r="BL531" s="2"/>
      <c r="BM531" s="2"/>
      <c r="BN531" s="2" t="s">
        <v>1377</v>
      </c>
    </row>
    <row r="532" spans="1:66" ht="13" customHeight="1">
      <c r="B532" s="1351"/>
      <c r="C532" s="1352"/>
      <c r="D532" s="1352"/>
      <c r="E532" s="1352"/>
      <c r="F532" s="1352"/>
      <c r="G532" s="1352"/>
      <c r="H532" s="1353"/>
      <c r="I532" s="30" t="s">
        <v>1367</v>
      </c>
      <c r="J532" s="30"/>
      <c r="K532" s="30"/>
      <c r="L532" s="30"/>
      <c r="M532" s="30"/>
      <c r="N532" s="30"/>
      <c r="O532" s="1385" t="s">
        <v>1343</v>
      </c>
      <c r="P532" s="1386"/>
      <c r="Q532" s="1386"/>
      <c r="R532" s="1386"/>
      <c r="S532" s="1386"/>
      <c r="T532" s="1386"/>
      <c r="U532" s="1386"/>
      <c r="V532" s="1386"/>
      <c r="W532" s="1386"/>
      <c r="X532" s="1386"/>
      <c r="Y532" s="1386"/>
      <c r="Z532" s="1386"/>
      <c r="AA532" s="1386"/>
      <c r="AC532" s="1343" t="s">
        <v>798</v>
      </c>
      <c r="AD532" s="1344"/>
      <c r="AE532" s="1344"/>
      <c r="AF532" s="1344"/>
      <c r="AG532" s="1149" t="s">
        <v>1332</v>
      </c>
      <c r="AH532" s="1379"/>
      <c r="AI532" s="1379"/>
      <c r="AJ532" s="1379"/>
      <c r="AK532" s="1380"/>
      <c r="AZ532" s="2"/>
      <c r="BA532" s="2"/>
      <c r="BB532" s="2"/>
      <c r="BC532" s="2"/>
      <c r="BD532" s="2"/>
      <c r="BE532" s="2"/>
      <c r="BF532" s="2"/>
      <c r="BG532" s="2"/>
      <c r="BH532" s="2"/>
      <c r="BI532" s="2"/>
      <c r="BJ532" s="2"/>
      <c r="BK532" s="2"/>
      <c r="BL532" s="2"/>
      <c r="BM532" s="2"/>
      <c r="BN532" s="2" t="s">
        <v>1378</v>
      </c>
    </row>
    <row r="533" spans="1:66" ht="13" customHeight="1">
      <c r="B533" s="1351"/>
      <c r="C533" s="1352"/>
      <c r="D533" s="1352"/>
      <c r="E533" s="1352"/>
      <c r="F533" s="1352"/>
      <c r="G533" s="1352"/>
      <c r="H533" s="1353"/>
      <c r="I533" t="s">
        <v>44</v>
      </c>
      <c r="AC533" s="1343" t="s">
        <v>798</v>
      </c>
      <c r="AD533" s="1344"/>
      <c r="AE533" s="1344"/>
      <c r="AF533" s="1344"/>
      <c r="AG533" s="1170" t="s">
        <v>1332</v>
      </c>
      <c r="AH533" s="1379"/>
      <c r="AI533" s="1379"/>
      <c r="AJ533" s="1379"/>
      <c r="AK533" s="1380"/>
      <c r="AZ533" s="2"/>
      <c r="BA533" s="2"/>
      <c r="BB533" s="2"/>
      <c r="BC533" s="2"/>
      <c r="BD533" s="2"/>
      <c r="BE533" s="2"/>
      <c r="BF533" s="2"/>
      <c r="BG533" s="2"/>
      <c r="BH533" s="2"/>
      <c r="BI533" s="2"/>
      <c r="BJ533" s="2"/>
      <c r="BK533" s="2"/>
      <c r="BL533" s="2"/>
      <c r="BM533" s="2"/>
      <c r="BN533" s="2" t="s">
        <v>1379</v>
      </c>
    </row>
    <row r="534" spans="1:66" ht="13" customHeight="1">
      <c r="B534" s="1351"/>
      <c r="C534" s="1352"/>
      <c r="D534" s="1352"/>
      <c r="E534" s="1352"/>
      <c r="F534" s="1352"/>
      <c r="G534" s="1352"/>
      <c r="H534" s="1353"/>
      <c r="I534" s="32" t="s">
        <v>1365</v>
      </c>
      <c r="J534" s="32"/>
      <c r="K534" s="32"/>
      <c r="L534" s="32"/>
      <c r="M534" s="32"/>
      <c r="N534" s="32"/>
      <c r="O534" s="32"/>
      <c r="P534" s="32"/>
      <c r="Q534" s="32"/>
      <c r="R534" s="32"/>
      <c r="S534" s="32"/>
      <c r="T534" s="32"/>
      <c r="U534" s="32"/>
      <c r="V534" s="32"/>
      <c r="W534" s="32"/>
      <c r="X534" s="32"/>
      <c r="Y534" s="32"/>
      <c r="Z534" s="32"/>
      <c r="AA534" s="32"/>
      <c r="AB534" s="32"/>
      <c r="AC534" s="1343" t="s">
        <v>798</v>
      </c>
      <c r="AD534" s="1344"/>
      <c r="AE534" s="1344"/>
      <c r="AF534" s="1344"/>
      <c r="AG534" s="1149" t="s">
        <v>1332</v>
      </c>
      <c r="AH534" s="1379"/>
      <c r="AI534" s="1379"/>
      <c r="AJ534" s="1379"/>
      <c r="AK534" s="1380"/>
      <c r="AZ534" s="2"/>
      <c r="BA534" s="2"/>
      <c r="BB534" s="2"/>
      <c r="BC534" s="2"/>
      <c r="BD534" s="2"/>
      <c r="BE534" s="2"/>
      <c r="BF534" s="2"/>
      <c r="BG534" s="2"/>
      <c r="BH534" s="2"/>
      <c r="BI534" s="2"/>
      <c r="BJ534" s="2"/>
      <c r="BK534" s="2"/>
      <c r="BL534" s="2"/>
      <c r="BM534" s="2"/>
      <c r="BN534" s="2" t="s">
        <v>1380</v>
      </c>
    </row>
    <row r="535" spans="1:66" ht="13" customHeight="1">
      <c r="B535" s="1351"/>
      <c r="C535" s="1352"/>
      <c r="D535" s="1352"/>
      <c r="E535" s="1352"/>
      <c r="F535" s="1352"/>
      <c r="G535" s="1352"/>
      <c r="H535" s="1353"/>
      <c r="I535" s="30" t="s">
        <v>1367</v>
      </c>
      <c r="J535" s="30"/>
      <c r="K535" s="30"/>
      <c r="L535" s="30"/>
      <c r="M535" s="30"/>
      <c r="N535" s="30"/>
      <c r="O535" s="1385" t="s">
        <v>1343</v>
      </c>
      <c r="P535" s="1386"/>
      <c r="Q535" s="1386"/>
      <c r="R535" s="1386"/>
      <c r="S535" s="1386"/>
      <c r="T535" s="1386"/>
      <c r="U535" s="1386"/>
      <c r="V535" s="1386"/>
      <c r="W535" s="1386"/>
      <c r="X535" s="1386"/>
      <c r="Y535" s="1386"/>
      <c r="Z535" s="1386"/>
      <c r="AA535" s="1386"/>
      <c r="AC535" s="1343" t="s">
        <v>798</v>
      </c>
      <c r="AD535" s="1344"/>
      <c r="AE535" s="1344"/>
      <c r="AF535" s="1344"/>
      <c r="AG535" s="1170" t="s">
        <v>1332</v>
      </c>
      <c r="AH535" s="1379"/>
      <c r="AI535" s="1379"/>
      <c r="AJ535" s="1379"/>
      <c r="AK535" s="1380"/>
      <c r="AZ535" s="2"/>
      <c r="BA535" s="2"/>
      <c r="BB535" s="2"/>
      <c r="BC535" s="2"/>
      <c r="BD535" s="2"/>
      <c r="BE535" s="2"/>
      <c r="BF535" s="2"/>
      <c r="BG535" s="2"/>
      <c r="BH535" s="2"/>
      <c r="BI535" s="2"/>
      <c r="BJ535" s="2"/>
      <c r="BK535" s="2"/>
      <c r="BL535" s="2"/>
      <c r="BM535" s="2"/>
      <c r="BN535" s="2" t="s">
        <v>1381</v>
      </c>
    </row>
    <row r="536" spans="1:66" ht="13" customHeight="1">
      <c r="B536" s="1351"/>
      <c r="C536" s="1352"/>
      <c r="D536" s="1352"/>
      <c r="E536" s="1352"/>
      <c r="F536" s="1352"/>
      <c r="G536" s="1352"/>
      <c r="H536" s="1353"/>
      <c r="I536" t="s">
        <v>44</v>
      </c>
      <c r="AC536" s="1343" t="s">
        <v>798</v>
      </c>
      <c r="AD536" s="1344"/>
      <c r="AE536" s="1344"/>
      <c r="AF536" s="1344"/>
      <c r="AG536" s="1149" t="s">
        <v>1332</v>
      </c>
      <c r="AH536" s="1379"/>
      <c r="AI536" s="1379"/>
      <c r="AJ536" s="1379"/>
      <c r="AK536" s="1380"/>
      <c r="AZ536" s="2"/>
      <c r="BA536" s="2"/>
      <c r="BB536" s="2"/>
      <c r="BC536" s="2"/>
      <c r="BD536" s="2"/>
      <c r="BE536" s="2"/>
      <c r="BF536" s="2"/>
      <c r="BG536" s="2"/>
      <c r="BH536" s="2"/>
      <c r="BI536" s="2"/>
      <c r="BJ536" s="2"/>
      <c r="BK536" s="2"/>
      <c r="BL536" s="2"/>
      <c r="BM536" s="2"/>
      <c r="BN536" s="2" t="s">
        <v>1382</v>
      </c>
    </row>
    <row r="537" spans="1:66" ht="13" customHeight="1">
      <c r="B537" s="1351"/>
      <c r="C537" s="1352"/>
      <c r="D537" s="1352"/>
      <c r="E537" s="1352"/>
      <c r="F537" s="1352"/>
      <c r="G537" s="1352"/>
      <c r="H537" s="1353"/>
      <c r="I537" s="32" t="s">
        <v>1365</v>
      </c>
      <c r="J537" s="32"/>
      <c r="K537" s="32"/>
      <c r="L537" s="32"/>
      <c r="M537" s="32"/>
      <c r="N537" s="32"/>
      <c r="O537" s="32"/>
      <c r="P537" s="32"/>
      <c r="Q537" s="32"/>
      <c r="R537" s="32"/>
      <c r="S537" s="32"/>
      <c r="T537" s="32"/>
      <c r="U537" s="32"/>
      <c r="V537" s="32"/>
      <c r="W537" s="32"/>
      <c r="X537" s="32"/>
      <c r="Y537" s="32"/>
      <c r="Z537" s="32"/>
      <c r="AA537" s="32"/>
      <c r="AB537" s="32"/>
      <c r="AC537" s="1343" t="s">
        <v>798</v>
      </c>
      <c r="AD537" s="1344"/>
      <c r="AE537" s="1344"/>
      <c r="AF537" s="1344"/>
      <c r="AG537" s="1170" t="s">
        <v>1332</v>
      </c>
      <c r="AH537" s="1379"/>
      <c r="AI537" s="1379"/>
      <c r="AJ537" s="1379"/>
      <c r="AK537" s="1380"/>
      <c r="AZ537" s="2"/>
      <c r="BA537" s="2"/>
      <c r="BB537" s="2"/>
      <c r="BC537" s="2"/>
      <c r="BD537" s="2"/>
      <c r="BE537" s="2"/>
      <c r="BF537" s="2"/>
      <c r="BG537" s="2"/>
      <c r="BH537" s="2"/>
      <c r="BI537" s="2"/>
      <c r="BJ537" s="2"/>
      <c r="BK537" s="2"/>
      <c r="BL537" s="2"/>
      <c r="BM537" s="2"/>
      <c r="BN537" s="2" t="s">
        <v>1383</v>
      </c>
    </row>
    <row r="538" spans="1:66" ht="13" customHeight="1">
      <c r="B538" s="1351"/>
      <c r="C538" s="1352"/>
      <c r="D538" s="1352"/>
      <c r="E538" s="1352"/>
      <c r="F538" s="1352"/>
      <c r="G538" s="1352"/>
      <c r="H538" s="1353"/>
      <c r="I538" s="30" t="s">
        <v>1384</v>
      </c>
      <c r="J538" s="30"/>
      <c r="K538" s="30"/>
      <c r="L538" s="30"/>
      <c r="M538" s="30"/>
      <c r="N538" s="30"/>
      <c r="O538" s="30"/>
      <c r="P538" s="30"/>
      <c r="Q538" s="30"/>
      <c r="R538" s="30"/>
      <c r="S538" s="30"/>
      <c r="T538" s="30"/>
      <c r="U538" s="30"/>
      <c r="V538" s="30"/>
      <c r="W538" s="30"/>
      <c r="AC538" s="1343" t="s">
        <v>798</v>
      </c>
      <c r="AD538" s="1344"/>
      <c r="AE538" s="1344"/>
      <c r="AF538" s="1344"/>
      <c r="AG538" s="1170" t="s">
        <v>1332</v>
      </c>
      <c r="AH538" s="1379"/>
      <c r="AI538" s="1379"/>
      <c r="AJ538" s="1379"/>
      <c r="AK538" s="1380"/>
      <c r="AZ538" s="2"/>
      <c r="BA538" s="2"/>
      <c r="BB538" s="2"/>
      <c r="BC538" s="2"/>
      <c r="BD538" s="2"/>
      <c r="BE538" s="2"/>
      <c r="BF538" s="2"/>
      <c r="BG538" s="2"/>
      <c r="BH538" s="2"/>
      <c r="BI538" s="2"/>
      <c r="BJ538" s="2"/>
      <c r="BK538" s="2"/>
      <c r="BL538" s="2"/>
      <c r="BM538" s="2"/>
      <c r="BN538" s="2"/>
    </row>
    <row r="539" spans="1:66" ht="13" customHeight="1">
      <c r="B539" s="1351"/>
      <c r="C539" s="1352"/>
      <c r="D539" s="1352"/>
      <c r="E539" s="1352"/>
      <c r="F539" s="1352"/>
      <c r="G539" s="1352"/>
      <c r="H539" s="1353"/>
      <c r="I539" t="s">
        <v>1385</v>
      </c>
      <c r="AC539" s="1343">
        <v>10</v>
      </c>
      <c r="AD539" s="1344"/>
      <c r="AE539" s="1344"/>
      <c r="AF539" s="1344"/>
      <c r="AG539" s="1149" t="s">
        <v>1332</v>
      </c>
      <c r="AH539" s="1379">
        <v>2025</v>
      </c>
      <c r="AI539" s="1379"/>
      <c r="AJ539" s="1379"/>
      <c r="AK539" s="1380"/>
      <c r="AZ539" s="2"/>
      <c r="BA539" s="2"/>
      <c r="BB539" s="2"/>
      <c r="BC539" s="2"/>
      <c r="BD539" s="2"/>
      <c r="BE539" s="2"/>
      <c r="BF539" s="2"/>
      <c r="BG539" s="2"/>
      <c r="BH539" s="2"/>
      <c r="BI539" s="2"/>
      <c r="BJ539" s="2"/>
      <c r="BK539" s="2"/>
      <c r="BL539" s="2"/>
      <c r="BM539" s="2"/>
      <c r="BN539" s="2"/>
    </row>
    <row r="540" spans="1:66" ht="13" customHeight="1">
      <c r="B540" s="1351"/>
      <c r="C540" s="1352"/>
      <c r="D540" s="1352"/>
      <c r="E540" s="1352"/>
      <c r="F540" s="1352"/>
      <c r="G540" s="1352"/>
      <c r="H540" s="1353"/>
      <c r="I540" t="s">
        <v>1386</v>
      </c>
      <c r="AC540" s="1343">
        <v>7</v>
      </c>
      <c r="AD540" s="1344"/>
      <c r="AE540" s="1344"/>
      <c r="AF540" s="1344"/>
      <c r="AG540" s="1170" t="s">
        <v>1332</v>
      </c>
      <c r="AH540" s="1379">
        <v>2027</v>
      </c>
      <c r="AI540" s="1379"/>
      <c r="AJ540" s="1379"/>
      <c r="AK540" s="1380"/>
      <c r="AZ540" s="2"/>
      <c r="BA540" s="2"/>
      <c r="BB540" s="2"/>
      <c r="BC540" s="2"/>
      <c r="BD540" s="2"/>
      <c r="BE540" s="2"/>
      <c r="BF540" s="2"/>
      <c r="BG540" s="2"/>
      <c r="BH540" s="2"/>
      <c r="BI540" s="2"/>
      <c r="BJ540" s="2"/>
      <c r="BK540" s="2"/>
      <c r="BL540" s="2"/>
      <c r="BM540" s="2"/>
      <c r="BN540" s="2"/>
    </row>
    <row r="541" spans="1:66" ht="13" customHeight="1">
      <c r="B541" s="1351"/>
      <c r="C541" s="1352"/>
      <c r="D541" s="1352"/>
      <c r="E541" s="1352"/>
      <c r="F541" s="1352"/>
      <c r="G541" s="1352"/>
      <c r="H541" s="1353"/>
      <c r="I541" t="s">
        <v>1387</v>
      </c>
      <c r="AC541" s="1343">
        <v>10</v>
      </c>
      <c r="AD541" s="1344"/>
      <c r="AE541" s="1344"/>
      <c r="AF541" s="1344"/>
      <c r="AG541" s="1170" t="s">
        <v>1332</v>
      </c>
      <c r="AH541" s="1379">
        <v>2027</v>
      </c>
      <c r="AI541" s="1379"/>
      <c r="AJ541" s="1379"/>
      <c r="AK541" s="1380"/>
      <c r="AZ541" s="2"/>
      <c r="BA541" s="2"/>
      <c r="BB541" s="2"/>
      <c r="BC541" s="2"/>
      <c r="BD541" s="2"/>
      <c r="BE541" s="2"/>
      <c r="BF541" s="2"/>
      <c r="BG541" s="2"/>
      <c r="BH541" s="2"/>
      <c r="BI541" s="2"/>
      <c r="BJ541" s="2"/>
      <c r="BK541" s="2"/>
      <c r="BL541" s="2"/>
      <c r="BM541" s="2"/>
      <c r="BN541" s="2"/>
    </row>
    <row r="542" spans="1:66" ht="13" customHeight="1">
      <c r="B542" s="1354"/>
      <c r="C542" s="1355"/>
      <c r="D542" s="1355"/>
      <c r="E542" s="1355"/>
      <c r="F542" s="1355"/>
      <c r="G542" s="1355"/>
      <c r="H542" s="1356"/>
      <c r="I542" s="32" t="s">
        <v>1388</v>
      </c>
      <c r="J542" s="32"/>
      <c r="K542" s="32"/>
      <c r="L542" s="32"/>
      <c r="M542" s="32"/>
      <c r="N542" s="32"/>
      <c r="O542" s="32"/>
      <c r="P542" s="32"/>
      <c r="Q542" s="32"/>
      <c r="R542" s="32"/>
      <c r="S542" s="32"/>
      <c r="T542" s="32"/>
      <c r="U542" s="32"/>
      <c r="V542" s="32"/>
      <c r="W542" s="32"/>
      <c r="X542" s="32"/>
      <c r="Y542" s="32"/>
      <c r="Z542" s="32"/>
      <c r="AA542" s="32"/>
      <c r="AB542" s="32"/>
      <c r="AC542" s="1343">
        <v>1</v>
      </c>
      <c r="AD542" s="1344"/>
      <c r="AE542" s="1344"/>
      <c r="AF542" s="1344"/>
      <c r="AG542" s="1170" t="s">
        <v>1332</v>
      </c>
      <c r="AH542" s="1379">
        <v>2028</v>
      </c>
      <c r="AI542" s="1379"/>
      <c r="AJ542" s="1379"/>
      <c r="AK542" s="1380"/>
      <c r="BB542" s="2"/>
      <c r="BC542" s="2"/>
      <c r="BD542" s="2"/>
      <c r="BE542" s="2"/>
      <c r="BF542" s="2"/>
      <c r="BG542" s="2"/>
      <c r="BH542" s="2" t="s">
        <v>18</v>
      </c>
      <c r="BI542" s="2" t="str">
        <f>N649</f>
        <v>Yes</v>
      </c>
      <c r="BJ542" s="2"/>
      <c r="BK542" s="2"/>
      <c r="BL542" s="2"/>
      <c r="BM542" s="2"/>
      <c r="BN542" s="2"/>
    </row>
    <row r="543" spans="1:66" ht="13" customHeight="1">
      <c r="B543" s="381"/>
      <c r="C543" s="1155"/>
      <c r="D543" s="1155"/>
      <c r="E543" s="1155"/>
      <c r="F543" s="1155"/>
      <c r="G543" s="1155"/>
      <c r="H543" s="1155"/>
      <c r="AB543" s="1155"/>
      <c r="AU543" s="710"/>
      <c r="AV543" s="710"/>
      <c r="AW543" s="710"/>
      <c r="AX543" s="710"/>
      <c r="AY543" s="710"/>
      <c r="BB543" s="2"/>
      <c r="BC543" s="2"/>
      <c r="BD543" s="2"/>
      <c r="BE543" s="2"/>
      <c r="BF543" s="2"/>
      <c r="BG543" s="2"/>
      <c r="BH543" s="2" t="s">
        <v>31</v>
      </c>
      <c r="BI543" s="2" t="str">
        <f>AG649</f>
        <v>Yes</v>
      </c>
      <c r="BJ543" s="2"/>
      <c r="BK543" s="2"/>
      <c r="BL543" s="2"/>
      <c r="BM543" s="2"/>
      <c r="BN543" s="2"/>
    </row>
    <row r="544" spans="1:66" ht="13" customHeight="1">
      <c r="A544" s="1231" t="s">
        <v>1389</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10"/>
      <c r="AV544" s="710"/>
      <c r="AW544" s="710"/>
      <c r="AX544" s="710"/>
      <c r="AY544" s="710"/>
      <c r="BB544" s="2"/>
      <c r="BC544" s="2"/>
      <c r="BD544" s="2"/>
      <c r="BE544" s="2"/>
      <c r="BF544" s="2"/>
      <c r="BG544" s="2"/>
      <c r="BH544" s="2"/>
      <c r="BI544" s="2"/>
      <c r="BJ544" s="2"/>
      <c r="BK544" s="2"/>
      <c r="BL544" s="2"/>
      <c r="BM544" s="2"/>
      <c r="BN544" s="2"/>
    </row>
    <row r="545" spans="1:61" ht="13"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2"/>
      <c r="BC545" s="2"/>
      <c r="BD545" s="2"/>
      <c r="BE545" s="2"/>
      <c r="BF545" s="2"/>
      <c r="BG545" s="2"/>
      <c r="BH545" s="2"/>
      <c r="BI545" s="2"/>
    </row>
    <row r="546" spans="1:61" ht="13" customHeight="1">
      <c r="BB546" s="2"/>
      <c r="BC546" s="2"/>
      <c r="BD546" s="2"/>
      <c r="BE546" s="2"/>
      <c r="BF546" s="2"/>
      <c r="BG546" s="2"/>
      <c r="BH546" s="2"/>
      <c r="BI546" s="2"/>
    </row>
    <row r="547" spans="1:61" ht="13" customHeight="1">
      <c r="A547" s="1" t="s">
        <v>872</v>
      </c>
      <c r="B547" s="1"/>
      <c r="C547" s="1" t="s">
        <v>172</v>
      </c>
      <c r="BB547" s="2"/>
      <c r="BC547" s="2"/>
      <c r="BD547" s="2"/>
      <c r="BE547" s="2"/>
      <c r="BF547" s="2"/>
      <c r="BG547" s="2"/>
      <c r="BH547" s="2"/>
      <c r="BI547" s="2"/>
    </row>
    <row r="548" spans="1:61" ht="13" customHeight="1">
      <c r="A548" s="1"/>
      <c r="B548" s="1"/>
      <c r="C548" s="1"/>
      <c r="BB548" s="2"/>
      <c r="BC548" s="2"/>
      <c r="BD548" s="2"/>
      <c r="BE548" s="2"/>
      <c r="BF548" s="2"/>
      <c r="BG548" s="2"/>
      <c r="BH548" s="2"/>
      <c r="BI548" s="2"/>
    </row>
    <row r="549" spans="1:61" ht="13" customHeight="1">
      <c r="A549" s="1"/>
      <c r="B549" s="1"/>
      <c r="C549" s="1"/>
      <c r="D549" s="1" t="s">
        <v>1390</v>
      </c>
      <c r="AC549" s="57"/>
      <c r="BB549" s="2"/>
      <c r="BC549" s="2"/>
      <c r="BD549" s="2"/>
      <c r="BE549" s="2"/>
      <c r="BF549" s="2"/>
      <c r="BG549" s="2"/>
      <c r="BH549" s="2"/>
      <c r="BI549" s="2"/>
    </row>
    <row r="550" spans="1:61" ht="13" customHeight="1">
      <c r="B550" s="363"/>
      <c r="BB550" s="2"/>
      <c r="BC550" s="2"/>
      <c r="BD550" s="2"/>
      <c r="BE550" s="2"/>
      <c r="BF550" s="2"/>
      <c r="BG550" s="2"/>
      <c r="BH550" s="2" t="s">
        <v>39</v>
      </c>
      <c r="BI550" s="2" t="str">
        <f>N657</f>
        <v>Yes</v>
      </c>
    </row>
    <row r="551" spans="1:61" ht="13" customHeight="1">
      <c r="B551" s="1348" t="s">
        <v>1391</v>
      </c>
      <c r="C551" s="1349"/>
      <c r="D551" s="1349"/>
      <c r="E551" s="1349"/>
      <c r="F551" s="1349"/>
      <c r="G551" s="1349"/>
      <c r="H551" s="1349"/>
      <c r="I551" s="1349"/>
      <c r="J551" s="1349"/>
      <c r="K551" s="1349"/>
      <c r="L551" s="1350"/>
      <c r="M551" s="1348" t="s">
        <v>1392</v>
      </c>
      <c r="N551" s="1349"/>
      <c r="O551" s="1349"/>
      <c r="P551" s="1350"/>
      <c r="Q551" s="1348" t="s">
        <v>1393</v>
      </c>
      <c r="R551" s="1349"/>
      <c r="S551" s="1350"/>
      <c r="T551" s="1348" t="s">
        <v>1394</v>
      </c>
      <c r="U551" s="1349"/>
      <c r="V551" s="1350"/>
      <c r="W551" s="1348" t="s">
        <v>1395</v>
      </c>
      <c r="X551" s="1349"/>
      <c r="Y551" s="1350"/>
      <c r="Z551" s="1348" t="s">
        <v>1396</v>
      </c>
      <c r="AA551" s="1349"/>
      <c r="AB551" s="1349"/>
      <c r="AC551" s="1349"/>
      <c r="AD551" s="1350"/>
      <c r="AE551" s="1348" t="s">
        <v>1397</v>
      </c>
      <c r="AF551" s="1349"/>
      <c r="AG551" s="1349"/>
      <c r="AH551" s="1350"/>
      <c r="AI551" s="1348" t="s">
        <v>1398</v>
      </c>
      <c r="AJ551" s="1349"/>
      <c r="AK551" s="1349"/>
      <c r="AL551" s="1350"/>
      <c r="AM551" s="1348" t="s">
        <v>1399</v>
      </c>
      <c r="AN551" s="1349"/>
      <c r="AO551" s="1349"/>
      <c r="AP551" s="1349"/>
      <c r="AQ551" s="1349"/>
      <c r="AR551" s="1349"/>
      <c r="AS551" s="1350"/>
      <c r="BB551" s="2"/>
      <c r="BC551" s="2"/>
      <c r="BD551" s="2"/>
      <c r="BE551" s="2"/>
      <c r="BF551" s="2"/>
      <c r="BG551" s="2"/>
      <c r="BH551" s="2" t="s">
        <v>82</v>
      </c>
      <c r="BI551" s="2" t="str">
        <f>AG657</f>
        <v>No</v>
      </c>
    </row>
    <row r="552" spans="1:61" ht="13" customHeight="1">
      <c r="B552" s="1351"/>
      <c r="C552" s="1352"/>
      <c r="D552" s="1352"/>
      <c r="E552" s="1352"/>
      <c r="F552" s="1352"/>
      <c r="G552" s="1352"/>
      <c r="H552" s="1352"/>
      <c r="I552" s="1352"/>
      <c r="J552" s="1352"/>
      <c r="K552" s="1352"/>
      <c r="L552" s="1353"/>
      <c r="M552" s="1351"/>
      <c r="N552" s="1352"/>
      <c r="O552" s="1352"/>
      <c r="P552" s="1353"/>
      <c r="Q552" s="1351"/>
      <c r="R552" s="1352"/>
      <c r="S552" s="1353"/>
      <c r="T552" s="1351"/>
      <c r="U552" s="1352"/>
      <c r="V552" s="1353"/>
      <c r="W552" s="1351"/>
      <c r="X552" s="1352"/>
      <c r="Y552" s="1353"/>
      <c r="Z552" s="1351"/>
      <c r="AA552" s="1352"/>
      <c r="AB552" s="1352"/>
      <c r="AC552" s="1352"/>
      <c r="AD552" s="1353"/>
      <c r="AE552" s="1351"/>
      <c r="AF552" s="1352"/>
      <c r="AG552" s="1352"/>
      <c r="AH552" s="1353"/>
      <c r="AI552" s="1351"/>
      <c r="AJ552" s="1352"/>
      <c r="AK552" s="1352"/>
      <c r="AL552" s="1353"/>
      <c r="AM552" s="1351"/>
      <c r="AN552" s="1352"/>
      <c r="AO552" s="1352"/>
      <c r="AP552" s="1352"/>
      <c r="AQ552" s="1352"/>
      <c r="AR552" s="1352"/>
      <c r="AS552" s="1353"/>
      <c r="AU552" s="930"/>
      <c r="BB552" s="2"/>
      <c r="BC552" s="2"/>
      <c r="BD552" s="2"/>
      <c r="BE552" s="2"/>
      <c r="BF552" s="2"/>
      <c r="BG552" s="2"/>
      <c r="BH552" s="2"/>
      <c r="BI552" s="2"/>
    </row>
    <row r="553" spans="1:61" ht="13" customHeight="1">
      <c r="B553" s="1354"/>
      <c r="C553" s="1355"/>
      <c r="D553" s="1355"/>
      <c r="E553" s="1355"/>
      <c r="F553" s="1355"/>
      <c r="G553" s="1355"/>
      <c r="H553" s="1355"/>
      <c r="I553" s="1355"/>
      <c r="J553" s="1355"/>
      <c r="K553" s="1355"/>
      <c r="L553" s="1356"/>
      <c r="M553" s="1354"/>
      <c r="N553" s="1355"/>
      <c r="O553" s="1355"/>
      <c r="P553" s="1356"/>
      <c r="Q553" s="1354"/>
      <c r="R553" s="1355"/>
      <c r="S553" s="1356"/>
      <c r="T553" s="1354"/>
      <c r="U553" s="1355"/>
      <c r="V553" s="1356"/>
      <c r="W553" s="1354"/>
      <c r="X553" s="1355"/>
      <c r="Y553" s="1356"/>
      <c r="Z553" s="1354"/>
      <c r="AA553" s="1355"/>
      <c r="AB553" s="1355"/>
      <c r="AC553" s="1355"/>
      <c r="AD553" s="1356"/>
      <c r="AE553" s="1354"/>
      <c r="AF553" s="1355"/>
      <c r="AG553" s="1355"/>
      <c r="AH553" s="1356"/>
      <c r="AI553" s="1354"/>
      <c r="AJ553" s="1355"/>
      <c r="AK553" s="1355"/>
      <c r="AL553" s="1356"/>
      <c r="AM553" s="1354"/>
      <c r="AN553" s="1355"/>
      <c r="AO553" s="1355"/>
      <c r="AP553" s="1355"/>
      <c r="AQ553" s="1355"/>
      <c r="AR553" s="1355"/>
      <c r="AS553" s="1356"/>
      <c r="AU553" s="930"/>
      <c r="BB553" s="2"/>
      <c r="BC553" s="2"/>
      <c r="BD553" s="2"/>
      <c r="BE553" s="2"/>
      <c r="BF553" s="2"/>
      <c r="BG553" s="2"/>
      <c r="BH553" s="2"/>
      <c r="BI553" s="2"/>
    </row>
    <row r="554" spans="1:61" ht="13" customHeight="1">
      <c r="B554" s="34" t="s">
        <v>18</v>
      </c>
      <c r="C554" s="1391" t="s">
        <v>1400</v>
      </c>
      <c r="D554" s="1391"/>
      <c r="E554" s="1391"/>
      <c r="F554" s="1391"/>
      <c r="G554" s="1391"/>
      <c r="H554" s="1391"/>
      <c r="I554" s="1391"/>
      <c r="J554" s="1391"/>
      <c r="K554" s="1391"/>
      <c r="L554" s="1391"/>
      <c r="M554" s="1391" t="s">
        <v>1374</v>
      </c>
      <c r="N554" s="1391"/>
      <c r="O554" s="1391"/>
      <c r="P554" s="1391"/>
      <c r="Q554" s="1377"/>
      <c r="R554" s="1377"/>
      <c r="S554" s="1378"/>
      <c r="T554" s="1376"/>
      <c r="U554" s="1377"/>
      <c r="V554" s="1378"/>
      <c r="W554" s="1373">
        <v>0.06</v>
      </c>
      <c r="X554" s="1374"/>
      <c r="Y554" s="1375"/>
      <c r="Z554" s="1382" t="s">
        <v>1003</v>
      </c>
      <c r="AA554" s="1382"/>
      <c r="AB554" s="1382"/>
      <c r="AC554" s="1382"/>
      <c r="AD554" s="1382"/>
      <c r="AE554" s="1364"/>
      <c r="AF554" s="1365"/>
      <c r="AG554" s="1365"/>
      <c r="AH554" s="1366"/>
      <c r="AI554" s="1388"/>
      <c r="AJ554" s="1389"/>
      <c r="AK554" s="1389"/>
      <c r="AL554" s="1390"/>
      <c r="AM554" s="1417">
        <v>21709330</v>
      </c>
      <c r="AN554" s="1418"/>
      <c r="AO554" s="1418"/>
      <c r="AP554" s="1418"/>
      <c r="AQ554" s="1418"/>
      <c r="AR554" s="1418"/>
      <c r="AS554" s="1419"/>
      <c r="AT554" s="931"/>
      <c r="AU554" s="930"/>
      <c r="BB554" s="2"/>
      <c r="BC554" s="2"/>
      <c r="BD554" s="2"/>
      <c r="BE554" s="2"/>
      <c r="BF554" s="2"/>
      <c r="BG554" s="2"/>
      <c r="BH554" s="2"/>
      <c r="BI554" s="2"/>
    </row>
    <row r="555" spans="1:61" ht="13" customHeight="1">
      <c r="B555" s="35" t="s">
        <v>31</v>
      </c>
      <c r="C555" s="1392" t="s">
        <v>1401</v>
      </c>
      <c r="D555" s="1392"/>
      <c r="E555" s="1392"/>
      <c r="F555" s="1392"/>
      <c r="G555" s="1392"/>
      <c r="H555" s="1392"/>
      <c r="I555" s="1392"/>
      <c r="J555" s="1392"/>
      <c r="K555" s="1392"/>
      <c r="L555" s="1392"/>
      <c r="M555" s="1391" t="s">
        <v>1373</v>
      </c>
      <c r="N555" s="1391"/>
      <c r="O555" s="1391"/>
      <c r="P555" s="1391"/>
      <c r="Q555" s="1376"/>
      <c r="R555" s="1377"/>
      <c r="S555" s="1378"/>
      <c r="T555" s="1376"/>
      <c r="U555" s="1377"/>
      <c r="V555" s="1378"/>
      <c r="W555" s="1373">
        <v>6.5000000000000002E-2</v>
      </c>
      <c r="X555" s="1374"/>
      <c r="Y555" s="1375"/>
      <c r="Z555" s="1382" t="s">
        <v>1003</v>
      </c>
      <c r="AA555" s="1382"/>
      <c r="AB555" s="1382"/>
      <c r="AC555" s="1382"/>
      <c r="AD555" s="1382"/>
      <c r="AE555" s="1364"/>
      <c r="AF555" s="1365"/>
      <c r="AG555" s="1365"/>
      <c r="AH555" s="1366"/>
      <c r="AI555" s="1388"/>
      <c r="AJ555" s="1389"/>
      <c r="AK555" s="1389"/>
      <c r="AL555" s="1390"/>
      <c r="AM555" s="1417">
        <v>693126</v>
      </c>
      <c r="AN555" s="1418"/>
      <c r="AO555" s="1418"/>
      <c r="AP555" s="1418"/>
      <c r="AQ555" s="1418"/>
      <c r="AR555" s="1418"/>
      <c r="AS555" s="1419"/>
      <c r="AT555" s="931" t="str">
        <f>IF(AND(NOT(C554=""),C555="",NOT(C556="")),"!","")</f>
        <v/>
      </c>
      <c r="AU555" s="930"/>
      <c r="BB555" s="2"/>
      <c r="BC555" s="2"/>
      <c r="BD555" s="2"/>
      <c r="BE555" s="2"/>
      <c r="BF555" s="2"/>
      <c r="BG555" s="2"/>
      <c r="BH555" s="2"/>
      <c r="BI555" s="2"/>
    </row>
    <row r="556" spans="1:61" ht="13" customHeight="1">
      <c r="B556" s="35" t="s">
        <v>39</v>
      </c>
      <c r="C556" s="1392" t="s">
        <v>1402</v>
      </c>
      <c r="D556" s="1392"/>
      <c r="E556" s="1392"/>
      <c r="F556" s="1392"/>
      <c r="G556" s="1392"/>
      <c r="H556" s="1392"/>
      <c r="I556" s="1392"/>
      <c r="J556" s="1392"/>
      <c r="K556" s="1392"/>
      <c r="L556" s="1392"/>
      <c r="M556" s="1391" t="s">
        <v>1359</v>
      </c>
      <c r="N556" s="1391"/>
      <c r="O556" s="1391"/>
      <c r="P556" s="1391"/>
      <c r="Q556" s="1376"/>
      <c r="R556" s="1377"/>
      <c r="S556" s="1378"/>
      <c r="T556" s="1376"/>
      <c r="U556" s="1377"/>
      <c r="V556" s="1378"/>
      <c r="W556" s="1373"/>
      <c r="X556" s="1374"/>
      <c r="Y556" s="1375"/>
      <c r="Z556" s="1382" t="s">
        <v>1003</v>
      </c>
      <c r="AA556" s="1382"/>
      <c r="AB556" s="1382"/>
      <c r="AC556" s="1382"/>
      <c r="AD556" s="1382"/>
      <c r="AE556" s="1364"/>
      <c r="AF556" s="1365"/>
      <c r="AG556" s="1365"/>
      <c r="AH556" s="1366"/>
      <c r="AI556" s="1388"/>
      <c r="AJ556" s="1389"/>
      <c r="AK556" s="1389"/>
      <c r="AL556" s="1390"/>
      <c r="AM556" s="1417">
        <v>4610855</v>
      </c>
      <c r="AN556" s="1418"/>
      <c r="AO556" s="1418"/>
      <c r="AP556" s="1418"/>
      <c r="AQ556" s="1418"/>
      <c r="AR556" s="1418"/>
      <c r="AS556" s="1419"/>
      <c r="AT556" s="931" t="str">
        <f>IF(AND(NOT(C555=""),C556="",NOT(C557="")),"!","")</f>
        <v/>
      </c>
      <c r="AU556" s="930"/>
      <c r="BB556" s="2"/>
      <c r="BC556" s="2"/>
      <c r="BD556" s="2"/>
      <c r="BE556" s="2"/>
      <c r="BF556" s="2"/>
      <c r="BG556" s="2"/>
      <c r="BH556" s="2"/>
      <c r="BI556" s="2"/>
    </row>
    <row r="557" spans="1:61" ht="13" customHeight="1">
      <c r="B557" s="35" t="s">
        <v>82</v>
      </c>
      <c r="C557" s="1392" t="s">
        <v>1403</v>
      </c>
      <c r="D557" s="1392"/>
      <c r="E557" s="1392"/>
      <c r="F557" s="1392"/>
      <c r="G557" s="1392"/>
      <c r="H557" s="1392"/>
      <c r="I557" s="1392"/>
      <c r="J557" s="1392"/>
      <c r="K557" s="1392"/>
      <c r="L557" s="1392"/>
      <c r="M557" s="1391" t="s">
        <v>1351</v>
      </c>
      <c r="N557" s="1391"/>
      <c r="O557" s="1391"/>
      <c r="P557" s="1391"/>
      <c r="Q557" s="1376"/>
      <c r="R557" s="1377"/>
      <c r="S557" s="1378"/>
      <c r="T557" s="1376"/>
      <c r="U557" s="1377"/>
      <c r="V557" s="1378"/>
      <c r="W557" s="1373"/>
      <c r="X557" s="1374"/>
      <c r="Y557" s="1375"/>
      <c r="Z557" s="1382" t="s">
        <v>1003</v>
      </c>
      <c r="AA557" s="1382"/>
      <c r="AB557" s="1382"/>
      <c r="AC557" s="1382"/>
      <c r="AD557" s="1382"/>
      <c r="AE557" s="1364"/>
      <c r="AF557" s="1365"/>
      <c r="AG557" s="1365"/>
      <c r="AH557" s="1366"/>
      <c r="AI557" s="1388"/>
      <c r="AJ557" s="1389"/>
      <c r="AK557" s="1389"/>
      <c r="AL557" s="1390"/>
      <c r="AM557" s="1417">
        <f>AO641-AM556-AM555-AM554</f>
        <v>16082666</v>
      </c>
      <c r="AN557" s="1418"/>
      <c r="AO557" s="1418"/>
      <c r="AP557" s="1418"/>
      <c r="AQ557" s="1418"/>
      <c r="AR557" s="1418"/>
      <c r="AS557" s="1419"/>
      <c r="AT557" s="931" t="str">
        <f>IF(AND(NOT(C556=""),C557="",NOT(C558="")),"!","")</f>
        <v/>
      </c>
      <c r="AU557" s="930"/>
      <c r="BB557" s="2"/>
      <c r="BC557" s="2"/>
      <c r="BD557" s="2"/>
      <c r="BE557" s="2"/>
      <c r="BF557" s="2"/>
      <c r="BG557" s="2"/>
      <c r="BH557" s="2"/>
      <c r="BI557" s="2"/>
    </row>
    <row r="558" spans="1:61" ht="13" customHeight="1">
      <c r="B558" s="35" t="s">
        <v>86</v>
      </c>
      <c r="C558" s="1392"/>
      <c r="D558" s="1392"/>
      <c r="E558" s="1392"/>
      <c r="F558" s="1392"/>
      <c r="G558" s="1392"/>
      <c r="H558" s="1392"/>
      <c r="I558" s="1392"/>
      <c r="J558" s="1392"/>
      <c r="K558" s="1392"/>
      <c r="L558" s="1392"/>
      <c r="M558" s="1391" t="s">
        <v>1003</v>
      </c>
      <c r="N558" s="1391"/>
      <c r="O558" s="1391"/>
      <c r="P558" s="1391"/>
      <c r="Q558" s="1376"/>
      <c r="R558" s="1377"/>
      <c r="S558" s="1378"/>
      <c r="T558" s="1376"/>
      <c r="U558" s="1377"/>
      <c r="V558" s="1378"/>
      <c r="W558" s="1373"/>
      <c r="X558" s="1374"/>
      <c r="Y558" s="1375"/>
      <c r="Z558" s="1382" t="s">
        <v>1003</v>
      </c>
      <c r="AA558" s="1382"/>
      <c r="AB558" s="1382"/>
      <c r="AC558" s="1382"/>
      <c r="AD558" s="1382"/>
      <c r="AE558" s="1364"/>
      <c r="AF558" s="1365"/>
      <c r="AG558" s="1365"/>
      <c r="AH558" s="1366"/>
      <c r="AI558" s="1388"/>
      <c r="AJ558" s="1389"/>
      <c r="AK558" s="1389"/>
      <c r="AL558" s="1390"/>
      <c r="AM558" s="1417"/>
      <c r="AN558" s="1418"/>
      <c r="AO558" s="1418"/>
      <c r="AP558" s="1418"/>
      <c r="AQ558" s="1418"/>
      <c r="AR558" s="1418"/>
      <c r="AS558" s="1419"/>
      <c r="AT558" s="931" t="str">
        <f t="shared" ref="AT558:AT565" si="0">IF(AND(NOT(C557=""),C558="",NOT(C559="")),"!","")</f>
        <v/>
      </c>
      <c r="AU558" s="930"/>
      <c r="BB558" s="2"/>
      <c r="BC558" s="2"/>
      <c r="BD558" s="2"/>
      <c r="BE558" s="2"/>
      <c r="BF558" s="2"/>
      <c r="BG558" s="2"/>
      <c r="BH558" s="2" t="s">
        <v>86</v>
      </c>
      <c r="BI558" s="2" t="str">
        <f>N665</f>
        <v>No</v>
      </c>
    </row>
    <row r="559" spans="1:61" ht="13" customHeight="1">
      <c r="B559" s="35" t="s">
        <v>1404</v>
      </c>
      <c r="C559" s="1392"/>
      <c r="D559" s="1392"/>
      <c r="E559" s="1392"/>
      <c r="F559" s="1392"/>
      <c r="G559" s="1392"/>
      <c r="H559" s="1392"/>
      <c r="I559" s="1392"/>
      <c r="J559" s="1392"/>
      <c r="K559" s="1392"/>
      <c r="L559" s="1392"/>
      <c r="M559" s="1391" t="s">
        <v>1003</v>
      </c>
      <c r="N559" s="1391"/>
      <c r="O559" s="1391"/>
      <c r="P559" s="1391"/>
      <c r="Q559" s="1376"/>
      <c r="R559" s="1377"/>
      <c r="S559" s="1378"/>
      <c r="T559" s="1376"/>
      <c r="U559" s="1377"/>
      <c r="V559" s="1378"/>
      <c r="W559" s="1373"/>
      <c r="X559" s="1374"/>
      <c r="Y559" s="1375"/>
      <c r="Z559" s="1382" t="s">
        <v>1003</v>
      </c>
      <c r="AA559" s="1382"/>
      <c r="AB559" s="1382"/>
      <c r="AC559" s="1382"/>
      <c r="AD559" s="1382"/>
      <c r="AE559" s="1364"/>
      <c r="AF559" s="1365"/>
      <c r="AG559" s="1365"/>
      <c r="AH559" s="1366"/>
      <c r="AI559" s="1388"/>
      <c r="AJ559" s="1389"/>
      <c r="AK559" s="1389"/>
      <c r="AL559" s="1390"/>
      <c r="AM559" s="1417"/>
      <c r="AN559" s="1418"/>
      <c r="AO559" s="1418"/>
      <c r="AP559" s="1418"/>
      <c r="AQ559" s="1418"/>
      <c r="AR559" s="1418"/>
      <c r="AS559" s="1419"/>
      <c r="AT559" s="931" t="str">
        <f t="shared" si="0"/>
        <v/>
      </c>
      <c r="AU559" s="930"/>
      <c r="BB559" s="2"/>
      <c r="BC559" s="2"/>
      <c r="BD559" s="2"/>
      <c r="BE559" s="2"/>
      <c r="BF559" s="2"/>
      <c r="BG559" s="2"/>
      <c r="BH559" s="2" t="s">
        <v>1404</v>
      </c>
      <c r="BI559" s="2" t="str">
        <f>AG665</f>
        <v>No</v>
      </c>
    </row>
    <row r="560" spans="1:61" ht="13" customHeight="1">
      <c r="B560" s="35" t="s">
        <v>1405</v>
      </c>
      <c r="C560" s="1392"/>
      <c r="D560" s="1392"/>
      <c r="E560" s="1392"/>
      <c r="F560" s="1392"/>
      <c r="G560" s="1392"/>
      <c r="H560" s="1392"/>
      <c r="I560" s="1392"/>
      <c r="J560" s="1392"/>
      <c r="K560" s="1392"/>
      <c r="L560" s="1392"/>
      <c r="M560" s="1391" t="s">
        <v>1003</v>
      </c>
      <c r="N560" s="1391"/>
      <c r="O560" s="1391"/>
      <c r="P560" s="1391"/>
      <c r="Q560" s="1376"/>
      <c r="R560" s="1377"/>
      <c r="S560" s="1378"/>
      <c r="T560" s="1376"/>
      <c r="U560" s="1377"/>
      <c r="V560" s="1378"/>
      <c r="W560" s="1373"/>
      <c r="X560" s="1374"/>
      <c r="Y560" s="1375"/>
      <c r="Z560" s="1382" t="s">
        <v>1003</v>
      </c>
      <c r="AA560" s="1382"/>
      <c r="AB560" s="1382"/>
      <c r="AC560" s="1382"/>
      <c r="AD560" s="1382"/>
      <c r="AE560" s="1364"/>
      <c r="AF560" s="1365"/>
      <c r="AG560" s="1365"/>
      <c r="AH560" s="1366"/>
      <c r="AI560" s="1388"/>
      <c r="AJ560" s="1389"/>
      <c r="AK560" s="1389"/>
      <c r="AL560" s="1390"/>
      <c r="AM560" s="1417"/>
      <c r="AN560" s="1418"/>
      <c r="AO560" s="1418"/>
      <c r="AP560" s="1418"/>
      <c r="AQ560" s="1418"/>
      <c r="AR560" s="1418"/>
      <c r="AS560" s="1419"/>
      <c r="AT560" s="931" t="str">
        <f t="shared" si="0"/>
        <v/>
      </c>
      <c r="AU560" s="930"/>
      <c r="BB560" s="2"/>
      <c r="BC560" s="2"/>
      <c r="BD560" s="2"/>
      <c r="BE560" s="2"/>
      <c r="BF560" s="2"/>
      <c r="BG560" s="2"/>
      <c r="BH560" s="2"/>
      <c r="BI560" s="2"/>
    </row>
    <row r="561" spans="1:61" ht="13" customHeight="1">
      <c r="B561" s="35" t="s">
        <v>1406</v>
      </c>
      <c r="C561" s="1392"/>
      <c r="D561" s="1392"/>
      <c r="E561" s="1392"/>
      <c r="F561" s="1392"/>
      <c r="G561" s="1392"/>
      <c r="H561" s="1392"/>
      <c r="I561" s="1392"/>
      <c r="J561" s="1392"/>
      <c r="K561" s="1392"/>
      <c r="L561" s="1392"/>
      <c r="M561" s="1391" t="s">
        <v>1003</v>
      </c>
      <c r="N561" s="1391"/>
      <c r="O561" s="1391"/>
      <c r="P561" s="1391"/>
      <c r="Q561" s="1376"/>
      <c r="R561" s="1377"/>
      <c r="S561" s="1378"/>
      <c r="T561" s="1376"/>
      <c r="U561" s="1377"/>
      <c r="V561" s="1378"/>
      <c r="W561" s="1373"/>
      <c r="X561" s="1374"/>
      <c r="Y561" s="1375"/>
      <c r="Z561" s="1382" t="s">
        <v>1003</v>
      </c>
      <c r="AA561" s="1382"/>
      <c r="AB561" s="1382"/>
      <c r="AC561" s="1382"/>
      <c r="AD561" s="1382"/>
      <c r="AE561" s="1364"/>
      <c r="AF561" s="1365"/>
      <c r="AG561" s="1365"/>
      <c r="AH561" s="1366"/>
      <c r="AI561" s="1388"/>
      <c r="AJ561" s="1389"/>
      <c r="AK561" s="1389"/>
      <c r="AL561" s="1390"/>
      <c r="AM561" s="1417"/>
      <c r="AN561" s="1418"/>
      <c r="AO561" s="1418"/>
      <c r="AP561" s="1418"/>
      <c r="AQ561" s="1418"/>
      <c r="AR561" s="1418"/>
      <c r="AS561" s="1419"/>
      <c r="AT561" s="931" t="str">
        <f t="shared" si="0"/>
        <v/>
      </c>
      <c r="AU561" s="930"/>
      <c r="BB561" s="2"/>
      <c r="BC561" s="2"/>
      <c r="BD561" s="2"/>
      <c r="BE561" s="2"/>
      <c r="BF561" s="2"/>
      <c r="BG561" s="2"/>
      <c r="BH561" s="2"/>
      <c r="BI561" s="2"/>
    </row>
    <row r="562" spans="1:61" ht="13" customHeight="1">
      <c r="B562" s="35" t="s">
        <v>1407</v>
      </c>
      <c r="C562" s="1392"/>
      <c r="D562" s="1392"/>
      <c r="E562" s="1392"/>
      <c r="F562" s="1392"/>
      <c r="G562" s="1392"/>
      <c r="H562" s="1392"/>
      <c r="I562" s="1392"/>
      <c r="J562" s="1392"/>
      <c r="K562" s="1392"/>
      <c r="L562" s="1392"/>
      <c r="M562" s="1391" t="s">
        <v>1003</v>
      </c>
      <c r="N562" s="1391"/>
      <c r="O562" s="1391"/>
      <c r="P562" s="1391"/>
      <c r="Q562" s="1376"/>
      <c r="R562" s="1377"/>
      <c r="S562" s="1378"/>
      <c r="T562" s="1376"/>
      <c r="U562" s="1377"/>
      <c r="V562" s="1378"/>
      <c r="W562" s="1373"/>
      <c r="X562" s="1374"/>
      <c r="Y562" s="1375"/>
      <c r="Z562" s="1382" t="s">
        <v>1003</v>
      </c>
      <c r="AA562" s="1382"/>
      <c r="AB562" s="1382"/>
      <c r="AC562" s="1382"/>
      <c r="AD562" s="1382"/>
      <c r="AE562" s="1364"/>
      <c r="AF562" s="1365"/>
      <c r="AG562" s="1365"/>
      <c r="AH562" s="1366"/>
      <c r="AI562" s="1388"/>
      <c r="AJ562" s="1389"/>
      <c r="AK562" s="1389"/>
      <c r="AL562" s="1390"/>
      <c r="AM562" s="1417"/>
      <c r="AN562" s="1418"/>
      <c r="AO562" s="1418"/>
      <c r="AP562" s="1418"/>
      <c r="AQ562" s="1418"/>
      <c r="AR562" s="1418"/>
      <c r="AS562" s="1419"/>
      <c r="AT562" s="931" t="str">
        <f t="shared" si="0"/>
        <v/>
      </c>
      <c r="AU562" s="930"/>
      <c r="BB562" s="2"/>
      <c r="BC562" s="2"/>
      <c r="BD562" s="2"/>
      <c r="BE562" s="2"/>
      <c r="BF562" s="2"/>
      <c r="BG562" s="2"/>
      <c r="BH562" s="2"/>
      <c r="BI562" s="2"/>
    </row>
    <row r="563" spans="1:61" ht="13" customHeight="1">
      <c r="B563" s="35" t="s">
        <v>1408</v>
      </c>
      <c r="C563" s="1392"/>
      <c r="D563" s="1392"/>
      <c r="E563" s="1392"/>
      <c r="F563" s="1392"/>
      <c r="G563" s="1392"/>
      <c r="H563" s="1392"/>
      <c r="I563" s="1392"/>
      <c r="J563" s="1392"/>
      <c r="K563" s="1392"/>
      <c r="L563" s="1392"/>
      <c r="M563" s="1391" t="s">
        <v>1003</v>
      </c>
      <c r="N563" s="1391"/>
      <c r="O563" s="1391"/>
      <c r="P563" s="1391"/>
      <c r="Q563" s="1376"/>
      <c r="R563" s="1377"/>
      <c r="S563" s="1378"/>
      <c r="T563" s="1376"/>
      <c r="U563" s="1377"/>
      <c r="V563" s="1378"/>
      <c r="W563" s="1373"/>
      <c r="X563" s="1374"/>
      <c r="Y563" s="1375"/>
      <c r="Z563" s="1382" t="s">
        <v>1003</v>
      </c>
      <c r="AA563" s="1382"/>
      <c r="AB563" s="1382"/>
      <c r="AC563" s="1382"/>
      <c r="AD563" s="1382"/>
      <c r="AE563" s="1364"/>
      <c r="AF563" s="1365"/>
      <c r="AG563" s="1365"/>
      <c r="AH563" s="1366"/>
      <c r="AI563" s="1388"/>
      <c r="AJ563" s="1389"/>
      <c r="AK563" s="1389"/>
      <c r="AL563" s="1390"/>
      <c r="AM563" s="1417"/>
      <c r="AN563" s="1418"/>
      <c r="AO563" s="1418"/>
      <c r="AP563" s="1418"/>
      <c r="AQ563" s="1418"/>
      <c r="AR563" s="1418"/>
      <c r="AS563" s="1419"/>
      <c r="AT563" s="931" t="str">
        <f t="shared" si="0"/>
        <v/>
      </c>
      <c r="BB563" s="2"/>
      <c r="BC563" s="2"/>
      <c r="BD563" s="2"/>
      <c r="BE563" s="2"/>
      <c r="BF563" s="2"/>
      <c r="BG563" s="2"/>
      <c r="BH563" s="2"/>
      <c r="BI563" s="2"/>
    </row>
    <row r="564" spans="1:61" ht="13" customHeight="1">
      <c r="B564" s="35" t="s">
        <v>1409</v>
      </c>
      <c r="C564" s="1392"/>
      <c r="D564" s="1392"/>
      <c r="E564" s="1392"/>
      <c r="F564" s="1392"/>
      <c r="G564" s="1392"/>
      <c r="H564" s="1392"/>
      <c r="I564" s="1392"/>
      <c r="J564" s="1392"/>
      <c r="K564" s="1392"/>
      <c r="L564" s="1392"/>
      <c r="M564" s="1391" t="s">
        <v>1003</v>
      </c>
      <c r="N564" s="1391"/>
      <c r="O564" s="1391"/>
      <c r="P564" s="1391"/>
      <c r="Q564" s="1376"/>
      <c r="R564" s="1377"/>
      <c r="S564" s="1378"/>
      <c r="T564" s="1376"/>
      <c r="U564" s="1377"/>
      <c r="V564" s="1378"/>
      <c r="W564" s="1373"/>
      <c r="X564" s="1374"/>
      <c r="Y564" s="1375"/>
      <c r="Z564" s="1382" t="s">
        <v>1003</v>
      </c>
      <c r="AA564" s="1382"/>
      <c r="AB564" s="1382"/>
      <c r="AC564" s="1382"/>
      <c r="AD564" s="1382"/>
      <c r="AE564" s="1364"/>
      <c r="AF564" s="1365"/>
      <c r="AG564" s="1365"/>
      <c r="AH564" s="1366"/>
      <c r="AI564" s="1388"/>
      <c r="AJ564" s="1389"/>
      <c r="AK564" s="1389"/>
      <c r="AL564" s="1390"/>
      <c r="AM564" s="1417"/>
      <c r="AN564" s="1418"/>
      <c r="AO564" s="1418"/>
      <c r="AP564" s="1418"/>
      <c r="AQ564" s="1418"/>
      <c r="AR564" s="1418"/>
      <c r="AS564" s="1419"/>
      <c r="AT564" s="931" t="str">
        <f t="shared" si="0"/>
        <v/>
      </c>
      <c r="BB564" s="2"/>
      <c r="BC564" s="2"/>
      <c r="BD564" s="2"/>
      <c r="BE564" s="2"/>
      <c r="BF564" s="2"/>
      <c r="BG564" s="2"/>
      <c r="BH564" s="2"/>
      <c r="BI564" s="2"/>
    </row>
    <row r="565" spans="1:61" ht="13" customHeight="1">
      <c r="B565" s="35" t="s">
        <v>1410</v>
      </c>
      <c r="C565" s="1392"/>
      <c r="D565" s="1392"/>
      <c r="E565" s="1392"/>
      <c r="F565" s="1392"/>
      <c r="G565" s="1392"/>
      <c r="H565" s="1392"/>
      <c r="I565" s="1392"/>
      <c r="J565" s="1392"/>
      <c r="K565" s="1392"/>
      <c r="L565" s="1392"/>
      <c r="M565" s="1391" t="s">
        <v>1003</v>
      </c>
      <c r="N565" s="1391"/>
      <c r="O565" s="1391"/>
      <c r="P565" s="1391"/>
      <c r="Q565" s="1376"/>
      <c r="R565" s="1377"/>
      <c r="S565" s="1378"/>
      <c r="T565" s="1376"/>
      <c r="U565" s="1377"/>
      <c r="V565" s="1378"/>
      <c r="W565" s="1373"/>
      <c r="X565" s="1374"/>
      <c r="Y565" s="1375"/>
      <c r="Z565" s="1382" t="s">
        <v>1003</v>
      </c>
      <c r="AA565" s="1382"/>
      <c r="AB565" s="1382"/>
      <c r="AC565" s="1382"/>
      <c r="AD565" s="1382"/>
      <c r="AE565" s="1364"/>
      <c r="AF565" s="1365"/>
      <c r="AG565" s="1365"/>
      <c r="AH565" s="1366"/>
      <c r="AI565" s="1388"/>
      <c r="AJ565" s="1389"/>
      <c r="AK565" s="1389"/>
      <c r="AL565" s="1390"/>
      <c r="AM565" s="1417"/>
      <c r="AN565" s="1418"/>
      <c r="AO565" s="1418"/>
      <c r="AP565" s="1418"/>
      <c r="AQ565" s="1418"/>
      <c r="AR565" s="1418"/>
      <c r="AS565" s="1419"/>
      <c r="AT565" s="931" t="str">
        <f t="shared" si="0"/>
        <v/>
      </c>
      <c r="BB565" s="2"/>
      <c r="BC565" s="2"/>
      <c r="BD565" s="2"/>
      <c r="BE565" s="2"/>
      <c r="BF565" s="2"/>
      <c r="BG565" s="2"/>
      <c r="BH565" s="2"/>
      <c r="BI565" s="2"/>
    </row>
    <row r="566" spans="1:61" ht="13" customHeight="1">
      <c r="B566" s="1360" t="s">
        <v>1411</v>
      </c>
      <c r="C566" s="1361"/>
      <c r="D566" s="1361"/>
      <c r="E566" s="1361"/>
      <c r="F566" s="1361"/>
      <c r="G566" s="1361"/>
      <c r="H566" s="1361"/>
      <c r="I566" s="1361"/>
      <c r="J566" s="1361"/>
      <c r="K566" s="1361"/>
      <c r="L566" s="1361"/>
      <c r="M566" s="1361"/>
      <c r="N566" s="1361"/>
      <c r="O566" s="1361"/>
      <c r="P566" s="1361"/>
      <c r="Q566" s="1361"/>
      <c r="R566" s="1361"/>
      <c r="S566" s="1361"/>
      <c r="T566" s="1361"/>
      <c r="U566" s="1362"/>
      <c r="V566" s="1361"/>
      <c r="W566" s="1361"/>
      <c r="X566" s="1361"/>
      <c r="Y566" s="1361"/>
      <c r="Z566" s="1361"/>
      <c r="AA566" s="1361"/>
      <c r="AB566" s="1361"/>
      <c r="AC566" s="1361"/>
      <c r="AD566" s="1361"/>
      <c r="AE566" s="1361"/>
      <c r="AF566" s="1361"/>
      <c r="AG566" s="1361"/>
      <c r="AH566" s="1361"/>
      <c r="AI566" s="1361"/>
      <c r="AJ566" s="1361"/>
      <c r="AK566" s="1361"/>
      <c r="AL566" s="1363"/>
      <c r="AM566" s="1424">
        <f>SUM(AM554:AS565)</f>
        <v>43095977</v>
      </c>
      <c r="AN566" s="1425"/>
      <c r="AO566" s="1425"/>
      <c r="AP566" s="1425"/>
      <c r="AQ566" s="1425"/>
      <c r="AR566" s="1425"/>
      <c r="AS566" s="1426"/>
      <c r="BB566" s="2"/>
      <c r="BC566" s="2"/>
      <c r="BD566" s="2"/>
      <c r="BE566" s="2"/>
      <c r="BF566" s="2"/>
      <c r="BG566" s="2"/>
      <c r="BH566" s="2" t="s">
        <v>1405</v>
      </c>
      <c r="BI566" s="2" t="str">
        <f>N673</f>
        <v>No</v>
      </c>
    </row>
    <row r="567" spans="1:61" ht="13"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1406</v>
      </c>
      <c r="BI567" s="2" t="str">
        <f>AG673</f>
        <v>No</v>
      </c>
    </row>
    <row r="568" spans="1:61" ht="13" customHeight="1">
      <c r="A568" s="36" t="s">
        <v>18</v>
      </c>
      <c r="B568" t="s">
        <v>1412</v>
      </c>
      <c r="G568" s="1435" t="str">
        <f>C554</f>
        <v>Construction Loan Tax Exempt</v>
      </c>
      <c r="H568" s="1435"/>
      <c r="I568" s="1435"/>
      <c r="J568" s="1435"/>
      <c r="K568" s="1435"/>
      <c r="L568" s="1435"/>
      <c r="M568" s="1435"/>
      <c r="N568" s="1435"/>
      <c r="O568" s="1435"/>
      <c r="P568" s="1435"/>
      <c r="Q568" s="1435"/>
      <c r="R568" s="1435"/>
      <c r="S568" s="6"/>
      <c r="T568" s="36" t="s">
        <v>31</v>
      </c>
      <c r="U568" t="s">
        <v>1412</v>
      </c>
      <c r="Z568" s="1435" t="str">
        <f>C555</f>
        <v>Construction Loan Taxable</v>
      </c>
      <c r="AA568" s="1435"/>
      <c r="AB568" s="1435"/>
      <c r="AC568" s="1435"/>
      <c r="AD568" s="1435"/>
      <c r="AE568" s="1435"/>
      <c r="AF568" s="1435"/>
      <c r="AG568" s="1435"/>
      <c r="AH568" s="1435"/>
      <c r="AI568" s="1435"/>
      <c r="AJ568" s="1435"/>
      <c r="AK568" s="1435"/>
      <c r="BB568" s="2"/>
      <c r="BC568" s="2"/>
      <c r="BD568" s="2"/>
      <c r="BE568" s="2"/>
      <c r="BF568" s="2"/>
      <c r="BG568" s="2"/>
      <c r="BH568" s="2"/>
      <c r="BI568" s="2"/>
    </row>
    <row r="569" spans="1:61" ht="13" customHeight="1">
      <c r="A569" s="17"/>
      <c r="B569" t="s">
        <v>1065</v>
      </c>
      <c r="G569" s="1359" t="s">
        <v>1413</v>
      </c>
      <c r="H569" s="1359"/>
      <c r="I569" s="1359"/>
      <c r="J569" s="1359"/>
      <c r="K569" s="1359"/>
      <c r="L569" s="1359"/>
      <c r="M569" s="1359"/>
      <c r="N569" s="1359"/>
      <c r="O569" s="1359"/>
      <c r="P569" s="1359"/>
      <c r="Q569" s="1359"/>
      <c r="R569" s="1359"/>
      <c r="S569" s="6"/>
      <c r="T569" s="17"/>
      <c r="U569" t="s">
        <v>1065</v>
      </c>
      <c r="Z569" s="1359" t="s">
        <v>1413</v>
      </c>
      <c r="AA569" s="1359"/>
      <c r="AB569" s="1359"/>
      <c r="AC569" s="1359"/>
      <c r="AD569" s="1359"/>
      <c r="AE569" s="1359"/>
      <c r="AF569" s="1359"/>
      <c r="AG569" s="1359"/>
      <c r="AH569" s="1359"/>
      <c r="AI569" s="1359"/>
      <c r="AJ569" s="1359"/>
      <c r="AK569" s="1359"/>
      <c r="BB569" s="2"/>
      <c r="BC569" s="2"/>
      <c r="BD569" s="2"/>
      <c r="BE569" s="2"/>
      <c r="BF569" s="2"/>
      <c r="BG569" s="2"/>
      <c r="BH569" s="2"/>
      <c r="BI569" s="2"/>
    </row>
    <row r="570" spans="1:61" ht="13" customHeight="1">
      <c r="A570" s="17"/>
      <c r="B570" t="s">
        <v>932</v>
      </c>
      <c r="G570" s="1359" t="s">
        <v>887</v>
      </c>
      <c r="H570" s="1359"/>
      <c r="I570" s="1359"/>
      <c r="J570" s="1359"/>
      <c r="K570" s="1359"/>
      <c r="L570" s="1359"/>
      <c r="M570" s="1359"/>
      <c r="N570" s="1359"/>
      <c r="O570" s="1359"/>
      <c r="P570" s="1359"/>
      <c r="Q570" s="1359"/>
      <c r="R570" s="1359"/>
      <c r="T570" s="17"/>
      <c r="U570" t="s">
        <v>932</v>
      </c>
      <c r="Z570" s="1326" t="s">
        <v>887</v>
      </c>
      <c r="AA570" s="1326"/>
      <c r="AB570" s="1326"/>
      <c r="AC570" s="1326"/>
      <c r="AD570" s="1326"/>
      <c r="AE570" s="1326"/>
      <c r="AF570" s="1326"/>
      <c r="AG570" s="1326"/>
      <c r="AH570" s="1326"/>
      <c r="AI570" s="1326"/>
      <c r="AJ570" s="1326"/>
      <c r="AK570" s="1326"/>
      <c r="BB570" s="2"/>
      <c r="BC570" s="2"/>
      <c r="BD570" s="2"/>
      <c r="BE570" s="2"/>
      <c r="BF570" s="2"/>
      <c r="BG570" s="2"/>
      <c r="BH570" s="2"/>
      <c r="BI570" s="2"/>
    </row>
    <row r="571" spans="1:61" ht="13" customHeight="1">
      <c r="A571" s="17"/>
      <c r="B571" t="s">
        <v>1414</v>
      </c>
      <c r="G571" s="1359" t="s">
        <v>1415</v>
      </c>
      <c r="H571" s="1359"/>
      <c r="I571" s="1359"/>
      <c r="J571" s="1359"/>
      <c r="K571" s="1359"/>
      <c r="L571" s="1359"/>
      <c r="M571" s="1359"/>
      <c r="N571" s="1359"/>
      <c r="O571" s="1359"/>
      <c r="P571" s="1359"/>
      <c r="Q571" s="1359"/>
      <c r="R571" s="1359"/>
      <c r="S571" s="6"/>
      <c r="T571" s="17"/>
      <c r="U571" t="s">
        <v>1414</v>
      </c>
      <c r="Z571" s="1326" t="s">
        <v>1415</v>
      </c>
      <c r="AA571" s="1326"/>
      <c r="AB571" s="1326"/>
      <c r="AC571" s="1326"/>
      <c r="AD571" s="1326"/>
      <c r="AE571" s="1326"/>
      <c r="AF571" s="1326"/>
      <c r="AG571" s="1326"/>
      <c r="AH571" s="1326"/>
      <c r="AI571" s="1326"/>
      <c r="AJ571" s="1326"/>
      <c r="AK571" s="1326"/>
      <c r="BB571" s="2"/>
      <c r="BC571" s="2"/>
      <c r="BD571" s="2"/>
      <c r="BE571" s="2"/>
      <c r="BF571" s="2"/>
      <c r="BG571" s="2"/>
      <c r="BH571" s="2"/>
      <c r="BI571" s="2"/>
    </row>
    <row r="572" spans="1:61" ht="13" customHeight="1">
      <c r="A572" s="17"/>
      <c r="B572" t="s">
        <v>825</v>
      </c>
      <c r="G572" s="1439" t="s">
        <v>1416</v>
      </c>
      <c r="H572" s="1439"/>
      <c r="I572" s="1439"/>
      <c r="J572" s="1439"/>
      <c r="K572" s="1439"/>
      <c r="L572" s="1439"/>
      <c r="O572" s="819" t="s">
        <v>1074</v>
      </c>
      <c r="P572" s="1423"/>
      <c r="Q572" s="1423"/>
      <c r="R572" s="1423"/>
      <c r="S572" s="8"/>
      <c r="T572" s="17"/>
      <c r="U572" t="s">
        <v>825</v>
      </c>
      <c r="Z572" s="1439" t="s">
        <v>1416</v>
      </c>
      <c r="AA572" s="1439"/>
      <c r="AB572" s="1439"/>
      <c r="AC572" s="1439"/>
      <c r="AD572" s="1439"/>
      <c r="AE572" s="1439"/>
      <c r="AH572" s="819" t="s">
        <v>1074</v>
      </c>
      <c r="AI572" s="1423"/>
      <c r="AJ572" s="1423"/>
      <c r="AK572" s="1423"/>
      <c r="BB572" s="2"/>
      <c r="BC572" s="2"/>
      <c r="BD572" s="2"/>
      <c r="BE572" s="2"/>
      <c r="BF572" s="2"/>
      <c r="BG572" s="2"/>
      <c r="BH572" s="2"/>
      <c r="BI572" s="2"/>
    </row>
    <row r="573" spans="1:61" ht="13" customHeight="1">
      <c r="A573" s="17"/>
      <c r="B573" t="s">
        <v>1417</v>
      </c>
      <c r="H573" s="1359" t="s">
        <v>1418</v>
      </c>
      <c r="I573" s="1359"/>
      <c r="J573" s="1359"/>
      <c r="K573" s="1359"/>
      <c r="L573" s="1359"/>
      <c r="M573" s="1359"/>
      <c r="N573" s="1359"/>
      <c r="O573" s="1359"/>
      <c r="P573" s="1359"/>
      <c r="Q573" s="1359"/>
      <c r="R573" s="1359"/>
      <c r="S573" s="6"/>
      <c r="T573" s="17"/>
      <c r="U573" t="s">
        <v>1417</v>
      </c>
      <c r="AA573" s="1359" t="s">
        <v>1419</v>
      </c>
      <c r="AB573" s="1359"/>
      <c r="AC573" s="1359"/>
      <c r="AD573" s="1359"/>
      <c r="AE573" s="1359"/>
      <c r="AF573" s="1359"/>
      <c r="AG573" s="1359"/>
      <c r="AH573" s="1359"/>
      <c r="AI573" s="1359"/>
      <c r="AJ573" s="1359"/>
      <c r="AK573" s="1359"/>
      <c r="BB573" s="2"/>
      <c r="BC573" s="2"/>
      <c r="BD573" s="2"/>
      <c r="BE573" s="2"/>
      <c r="BF573" s="2"/>
      <c r="BG573" s="2"/>
      <c r="BH573" s="2"/>
      <c r="BI573" s="2"/>
    </row>
    <row r="574" spans="1:61" ht="13" customHeight="1">
      <c r="A574" s="17"/>
      <c r="B574" s="199" t="s">
        <v>1420</v>
      </c>
      <c r="H574" s="6"/>
      <c r="I574" s="6"/>
      <c r="J574" s="6"/>
      <c r="K574" s="6"/>
      <c r="L574" s="6"/>
      <c r="M574" s="1540"/>
      <c r="N574" s="1540"/>
      <c r="O574" s="1540"/>
      <c r="P574" s="1540"/>
      <c r="Q574" s="1540"/>
      <c r="R574" s="1540"/>
      <c r="S574" s="6"/>
      <c r="T574" s="17"/>
      <c r="U574" s="199" t="s">
        <v>1420</v>
      </c>
      <c r="AA574" s="6"/>
      <c r="AB574" s="6"/>
      <c r="AC574" s="6"/>
      <c r="AD574" s="6"/>
      <c r="AE574" s="6"/>
      <c r="AF574" s="1540"/>
      <c r="AG574" s="1540"/>
      <c r="AH574" s="1540"/>
      <c r="AI574" s="1540"/>
      <c r="AJ574" s="1540"/>
      <c r="AK574" s="1540"/>
      <c r="BB574" s="2"/>
      <c r="BC574" s="2"/>
      <c r="BD574" s="2"/>
      <c r="BE574" s="2"/>
      <c r="BF574" s="2"/>
      <c r="BG574" s="2"/>
      <c r="BH574" s="2"/>
      <c r="BI574" s="2"/>
    </row>
    <row r="575" spans="1:61" ht="13" customHeight="1">
      <c r="A575" s="17"/>
      <c r="B575" t="s">
        <v>1421</v>
      </c>
      <c r="N575" s="1367" t="s">
        <v>847</v>
      </c>
      <c r="O575" s="1367"/>
      <c r="T575" s="17"/>
      <c r="U575" t="s">
        <v>1421</v>
      </c>
      <c r="AG575" s="1367" t="s">
        <v>847</v>
      </c>
      <c r="AH575" s="1367"/>
      <c r="BB575" s="2"/>
      <c r="BC575" s="2"/>
      <c r="BD575" s="2"/>
      <c r="BE575" s="2"/>
      <c r="BF575" s="2"/>
      <c r="BG575" s="2"/>
      <c r="BH575" s="2"/>
      <c r="BI575" s="2"/>
    </row>
    <row r="576" spans="1:61" ht="13" customHeight="1">
      <c r="A576" s="17"/>
      <c r="T576" s="17"/>
      <c r="BB576" s="2"/>
      <c r="BC576" s="2"/>
      <c r="BD576" s="2"/>
      <c r="BE576" s="2"/>
      <c r="BF576" s="2"/>
      <c r="BG576" s="2"/>
      <c r="BH576" s="2"/>
      <c r="BI576" s="2"/>
    </row>
    <row r="577" spans="1:55" ht="13" customHeight="1">
      <c r="A577" s="36" t="s">
        <v>39</v>
      </c>
      <c r="B577" t="s">
        <v>1412</v>
      </c>
      <c r="G577" s="1435" t="str">
        <f>C556</f>
        <v>Federal LIHTC Equity</v>
      </c>
      <c r="H577" s="1435"/>
      <c r="I577" s="1435"/>
      <c r="J577" s="1435"/>
      <c r="K577" s="1435"/>
      <c r="L577" s="1435"/>
      <c r="M577" s="1435"/>
      <c r="N577" s="1435"/>
      <c r="O577" s="1435"/>
      <c r="P577" s="1435"/>
      <c r="Q577" s="1435"/>
      <c r="R577" s="1435"/>
      <c r="T577" s="36" t="s">
        <v>82</v>
      </c>
      <c r="U577" t="s">
        <v>1412</v>
      </c>
      <c r="Z577" s="1435" t="str">
        <f>C557</f>
        <v>Deferred Cost</v>
      </c>
      <c r="AA577" s="1435"/>
      <c r="AB577" s="1435"/>
      <c r="AC577" s="1435"/>
      <c r="AD577" s="1435"/>
      <c r="AE577" s="1435"/>
      <c r="AF577" s="1435"/>
      <c r="AG577" s="1435"/>
      <c r="AH577" s="1435"/>
      <c r="AI577" s="1435"/>
      <c r="AJ577" s="1435"/>
      <c r="AK577" s="1435"/>
      <c r="BB577" s="2"/>
      <c r="BC577" s="2"/>
    </row>
    <row r="578" spans="1:55" ht="13" customHeight="1">
      <c r="A578" s="17"/>
      <c r="B578" t="s">
        <v>1065</v>
      </c>
      <c r="G578" s="1359" t="s">
        <v>1162</v>
      </c>
      <c r="H578" s="1359"/>
      <c r="I578" s="1359"/>
      <c r="J578" s="1359"/>
      <c r="K578" s="1359"/>
      <c r="L578" s="1359"/>
      <c r="M578" s="1359"/>
      <c r="N578" s="1359"/>
      <c r="O578" s="1359"/>
      <c r="P578" s="1359"/>
      <c r="Q578" s="1359"/>
      <c r="R578" s="1359"/>
      <c r="T578" s="17"/>
      <c r="U578" t="s">
        <v>1065</v>
      </c>
      <c r="Z578" s="1359" t="s">
        <v>1422</v>
      </c>
      <c r="AA578" s="1359"/>
      <c r="AB578" s="1359"/>
      <c r="AC578" s="1359"/>
      <c r="AD578" s="1359"/>
      <c r="AE578" s="1359"/>
      <c r="AF578" s="1359"/>
      <c r="AG578" s="1359"/>
      <c r="AH578" s="1359"/>
      <c r="AI578" s="1359"/>
      <c r="AJ578" s="1359"/>
      <c r="AK578" s="1359"/>
      <c r="BB578" s="2"/>
      <c r="BC578" s="2"/>
    </row>
    <row r="579" spans="1:55" ht="13" customHeight="1">
      <c r="A579" s="17"/>
      <c r="B579" t="s">
        <v>932</v>
      </c>
      <c r="G579" s="1326" t="s">
        <v>1423</v>
      </c>
      <c r="H579" s="1326"/>
      <c r="I579" s="1326"/>
      <c r="J579" s="1326"/>
      <c r="K579" s="1326"/>
      <c r="L579" s="1326"/>
      <c r="M579" s="1326"/>
      <c r="N579" s="1326"/>
      <c r="O579" s="1326"/>
      <c r="P579" s="1326"/>
      <c r="Q579" s="1326"/>
      <c r="R579" s="1326"/>
      <c r="T579" s="17"/>
      <c r="U579" t="s">
        <v>932</v>
      </c>
      <c r="Z579" s="1326" t="s">
        <v>1424</v>
      </c>
      <c r="AA579" s="1326"/>
      <c r="AB579" s="1326"/>
      <c r="AC579" s="1326"/>
      <c r="AD579" s="1326"/>
      <c r="AE579" s="1326"/>
      <c r="AF579" s="1326"/>
      <c r="AG579" s="1326"/>
      <c r="AH579" s="1326"/>
      <c r="AI579" s="1326"/>
      <c r="AJ579" s="1326"/>
      <c r="AK579" s="1326"/>
      <c r="BB579" s="2"/>
      <c r="BC579" s="2"/>
    </row>
    <row r="580" spans="1:55" ht="13" customHeight="1">
      <c r="A580" s="17"/>
      <c r="B580" t="s">
        <v>1414</v>
      </c>
      <c r="G580" s="1326" t="s">
        <v>1166</v>
      </c>
      <c r="H580" s="1326"/>
      <c r="I580" s="1326"/>
      <c r="J580" s="1326"/>
      <c r="K580" s="1326"/>
      <c r="L580" s="1326"/>
      <c r="M580" s="1326"/>
      <c r="N580" s="1326"/>
      <c r="O580" s="1326"/>
      <c r="P580" s="1326"/>
      <c r="Q580" s="1326"/>
      <c r="R580" s="1326"/>
      <c r="T580" s="17"/>
      <c r="U580" t="s">
        <v>1414</v>
      </c>
      <c r="Z580" s="1326" t="s">
        <v>1071</v>
      </c>
      <c r="AA580" s="1326"/>
      <c r="AB580" s="1326"/>
      <c r="AC580" s="1326"/>
      <c r="AD580" s="1326"/>
      <c r="AE580" s="1326"/>
      <c r="AF580" s="1326"/>
      <c r="AG580" s="1326"/>
      <c r="AH580" s="1326"/>
      <c r="AI580" s="1326"/>
      <c r="AJ580" s="1326"/>
      <c r="AK580" s="1326"/>
      <c r="BB580" s="2"/>
      <c r="BC580" s="2"/>
    </row>
    <row r="581" spans="1:55" ht="13" customHeight="1">
      <c r="A581" s="17"/>
      <c r="B581" t="s">
        <v>825</v>
      </c>
      <c r="G581" s="1439">
        <v>3107175578</v>
      </c>
      <c r="H581" s="1439"/>
      <c r="I581" s="1439"/>
      <c r="J581" s="1439"/>
      <c r="K581" s="1439"/>
      <c r="L581" s="1439"/>
      <c r="O581" s="819" t="s">
        <v>1074</v>
      </c>
      <c r="P581" s="1423"/>
      <c r="Q581" s="1423"/>
      <c r="R581" s="1423"/>
      <c r="T581" s="17"/>
      <c r="U581" t="s">
        <v>825</v>
      </c>
      <c r="Z581" s="1439" t="s">
        <v>1073</v>
      </c>
      <c r="AA581" s="1439"/>
      <c r="AB581" s="1439"/>
      <c r="AC581" s="1439"/>
      <c r="AD581" s="1439"/>
      <c r="AE581" s="1439"/>
      <c r="AH581" s="819" t="s">
        <v>1074</v>
      </c>
      <c r="AI581" s="1423"/>
      <c r="AJ581" s="1423"/>
      <c r="AK581" s="1423"/>
      <c r="BB581" s="2"/>
      <c r="BC581" s="2"/>
    </row>
    <row r="582" spans="1:55" ht="13" customHeight="1">
      <c r="A582" s="17"/>
      <c r="B582" t="s">
        <v>1417</v>
      </c>
      <c r="H582" s="1359" t="s">
        <v>1359</v>
      </c>
      <c r="I582" s="1359"/>
      <c r="J582" s="1359"/>
      <c r="K582" s="1359"/>
      <c r="L582" s="1359"/>
      <c r="M582" s="1359"/>
      <c r="N582" s="1359"/>
      <c r="O582" s="1359"/>
      <c r="P582" s="1359"/>
      <c r="Q582" s="1359"/>
      <c r="R582" s="1359"/>
      <c r="T582" s="17"/>
      <c r="U582" t="s">
        <v>1417</v>
      </c>
      <c r="AA582" s="1359" t="s">
        <v>1425</v>
      </c>
      <c r="AB582" s="1359"/>
      <c r="AC582" s="1359"/>
      <c r="AD582" s="1359"/>
      <c r="AE582" s="1359"/>
      <c r="AF582" s="1359"/>
      <c r="AG582" s="1359"/>
      <c r="AH582" s="1359"/>
      <c r="AI582" s="1359"/>
      <c r="AJ582" s="1359"/>
      <c r="AK582" s="1359"/>
      <c r="BB582" s="2"/>
      <c r="BC582" s="2"/>
    </row>
    <row r="583" spans="1:55" ht="13" customHeight="1">
      <c r="A583" s="17"/>
      <c r="B583" t="s">
        <v>1421</v>
      </c>
      <c r="N583" s="1367" t="s">
        <v>847</v>
      </c>
      <c r="O583" s="1367"/>
      <c r="T583" s="17"/>
      <c r="U583" t="s">
        <v>1421</v>
      </c>
      <c r="AG583" s="1367" t="s">
        <v>847</v>
      </c>
      <c r="AH583" s="1367"/>
      <c r="BB583" s="2"/>
      <c r="BC583" s="2"/>
    </row>
    <row r="584" spans="1:55" ht="13" customHeight="1">
      <c r="A584" s="17"/>
      <c r="T584" s="17"/>
      <c r="BB584" s="2"/>
      <c r="BC584" s="2"/>
    </row>
    <row r="585" spans="1:55" ht="13" customHeight="1">
      <c r="A585" s="36" t="s">
        <v>86</v>
      </c>
      <c r="B585" t="s">
        <v>1412</v>
      </c>
      <c r="G585" s="1435">
        <f>C558</f>
        <v>0</v>
      </c>
      <c r="H585" s="1435"/>
      <c r="I585" s="1435"/>
      <c r="J585" s="1435"/>
      <c r="K585" s="1435"/>
      <c r="L585" s="1435"/>
      <c r="M585" s="1435"/>
      <c r="N585" s="1435"/>
      <c r="O585" s="1435"/>
      <c r="P585" s="1435"/>
      <c r="Q585" s="1435"/>
      <c r="R585" s="1435"/>
      <c r="T585" s="36" t="s">
        <v>1404</v>
      </c>
      <c r="U585" t="s">
        <v>1412</v>
      </c>
      <c r="Z585" s="1435">
        <f>C559</f>
        <v>0</v>
      </c>
      <c r="AA585" s="1435"/>
      <c r="AB585" s="1435"/>
      <c r="AC585" s="1435"/>
      <c r="AD585" s="1435"/>
      <c r="AE585" s="1435"/>
      <c r="AF585" s="1435"/>
      <c r="AG585" s="1435"/>
      <c r="AH585" s="1435"/>
      <c r="AI585" s="1435"/>
      <c r="AJ585" s="1435"/>
      <c r="AK585" s="1435"/>
      <c r="BB585" s="2"/>
      <c r="BC585" s="2"/>
    </row>
    <row r="586" spans="1:55" ht="13" customHeight="1">
      <c r="A586" s="17"/>
      <c r="B586" t="s">
        <v>1065</v>
      </c>
      <c r="G586" s="1359"/>
      <c r="H586" s="1359"/>
      <c r="I586" s="1359"/>
      <c r="J586" s="1359"/>
      <c r="K586" s="1359"/>
      <c r="L586" s="1359"/>
      <c r="M586" s="1359"/>
      <c r="N586" s="1359"/>
      <c r="O586" s="1359"/>
      <c r="P586" s="1359"/>
      <c r="Q586" s="1359"/>
      <c r="R586" s="1359"/>
      <c r="T586" s="17"/>
      <c r="U586" t="s">
        <v>1065</v>
      </c>
      <c r="Z586" s="1359"/>
      <c r="AA586" s="1359"/>
      <c r="AB586" s="1359"/>
      <c r="AC586" s="1359"/>
      <c r="AD586" s="1359"/>
      <c r="AE586" s="1359"/>
      <c r="AF586" s="1359"/>
      <c r="AG586" s="1359"/>
      <c r="AH586" s="1359"/>
      <c r="AI586" s="1359"/>
      <c r="AJ586" s="1359"/>
      <c r="AK586" s="1359"/>
      <c r="BB586" s="2"/>
      <c r="BC586" s="2"/>
    </row>
    <row r="587" spans="1:55" ht="13" customHeight="1">
      <c r="A587" s="17"/>
      <c r="B587" t="s">
        <v>932</v>
      </c>
      <c r="G587" s="1359"/>
      <c r="H587" s="1359"/>
      <c r="I587" s="1359"/>
      <c r="J587" s="1359"/>
      <c r="K587" s="1359"/>
      <c r="L587" s="1359"/>
      <c r="M587" s="1359"/>
      <c r="N587" s="1359"/>
      <c r="O587" s="1359"/>
      <c r="P587" s="1359"/>
      <c r="Q587" s="1359"/>
      <c r="R587" s="1359"/>
      <c r="T587" s="17"/>
      <c r="U587" t="s">
        <v>932</v>
      </c>
      <c r="Z587" s="1326"/>
      <c r="AA587" s="1326"/>
      <c r="AB587" s="1326"/>
      <c r="AC587" s="1326"/>
      <c r="AD587" s="1326"/>
      <c r="AE587" s="1326"/>
      <c r="AF587" s="1326"/>
      <c r="AG587" s="1326"/>
      <c r="AH587" s="1326"/>
      <c r="AI587" s="1326"/>
      <c r="AJ587" s="1326"/>
      <c r="AK587" s="1326"/>
      <c r="BB587" s="2"/>
      <c r="BC587" s="2"/>
    </row>
    <row r="588" spans="1:55" ht="13" customHeight="1">
      <c r="A588" s="17"/>
      <c r="B588" t="s">
        <v>1414</v>
      </c>
      <c r="G588" s="1359"/>
      <c r="H588" s="1359"/>
      <c r="I588" s="1359"/>
      <c r="J588" s="1359"/>
      <c r="K588" s="1359"/>
      <c r="L588" s="1359"/>
      <c r="M588" s="1359"/>
      <c r="N588" s="1359"/>
      <c r="O588" s="1359"/>
      <c r="P588" s="1359"/>
      <c r="Q588" s="1359"/>
      <c r="R588" s="1359"/>
      <c r="T588" s="17"/>
      <c r="U588" t="s">
        <v>1414</v>
      </c>
      <c r="Z588" s="1326"/>
      <c r="AA588" s="1326"/>
      <c r="AB588" s="1326"/>
      <c r="AC588" s="1326"/>
      <c r="AD588" s="1326"/>
      <c r="AE588" s="1326"/>
      <c r="AF588" s="1326"/>
      <c r="AG588" s="1326"/>
      <c r="AH588" s="1326"/>
      <c r="AI588" s="1326"/>
      <c r="AJ588" s="1326"/>
      <c r="AK588" s="1326"/>
    </row>
    <row r="589" spans="1:55" ht="13" customHeight="1">
      <c r="A589" s="17"/>
      <c r="B589" t="s">
        <v>825</v>
      </c>
      <c r="G589" s="1439"/>
      <c r="H589" s="1439"/>
      <c r="I589" s="1439"/>
      <c r="J589" s="1439"/>
      <c r="K589" s="1439"/>
      <c r="L589" s="1439"/>
      <c r="O589" s="819" t="s">
        <v>1074</v>
      </c>
      <c r="P589" s="1423"/>
      <c r="Q589" s="1423"/>
      <c r="R589" s="1423"/>
      <c r="T589" s="17"/>
      <c r="U589" t="s">
        <v>825</v>
      </c>
      <c r="Z589" s="1439"/>
      <c r="AA589" s="1439"/>
      <c r="AB589" s="1439"/>
      <c r="AC589" s="1439"/>
      <c r="AD589" s="1439"/>
      <c r="AE589" s="1439"/>
      <c r="AH589" s="819" t="s">
        <v>1074</v>
      </c>
      <c r="AI589" s="1423"/>
      <c r="AJ589" s="1423"/>
      <c r="AK589" s="1423"/>
      <c r="AZ589" s="2"/>
      <c r="BA589" s="2"/>
      <c r="BB589" s="2"/>
      <c r="BC589" s="2"/>
    </row>
    <row r="590" spans="1:55" ht="13" customHeight="1">
      <c r="A590" s="17"/>
      <c r="B590" t="s">
        <v>1417</v>
      </c>
      <c r="H590" s="1359"/>
      <c r="I590" s="1359"/>
      <c r="J590" s="1359"/>
      <c r="K590" s="1359"/>
      <c r="L590" s="1359"/>
      <c r="M590" s="1359"/>
      <c r="N590" s="1359"/>
      <c r="O590" s="1359"/>
      <c r="P590" s="1359"/>
      <c r="Q590" s="1359"/>
      <c r="R590" s="1359"/>
      <c r="T590" s="17"/>
      <c r="U590" t="s">
        <v>1417</v>
      </c>
      <c r="AA590" s="1359"/>
      <c r="AB590" s="1359"/>
      <c r="AC590" s="1359"/>
      <c r="AD590" s="1359"/>
      <c r="AE590" s="1359"/>
      <c r="AF590" s="1359"/>
      <c r="AG590" s="1359"/>
      <c r="AH590" s="1359"/>
      <c r="AI590" s="1359"/>
      <c r="AJ590" s="1359"/>
      <c r="AK590" s="1359"/>
      <c r="AZ590" s="2"/>
      <c r="BA590" s="2"/>
      <c r="BB590" s="2"/>
      <c r="BC590" s="2"/>
    </row>
    <row r="591" spans="1:55" ht="13" customHeight="1">
      <c r="A591" s="17"/>
      <c r="B591" t="s">
        <v>1421</v>
      </c>
      <c r="N591" s="1367" t="s">
        <v>694</v>
      </c>
      <c r="O591" s="1367"/>
      <c r="T591" s="17"/>
      <c r="U591" t="s">
        <v>1421</v>
      </c>
      <c r="AG591" s="1367" t="s">
        <v>694</v>
      </c>
      <c r="AH591" s="1367"/>
      <c r="AZ591" s="2"/>
      <c r="BA591" s="2"/>
      <c r="BB591" s="2"/>
      <c r="BC591" s="2"/>
    </row>
    <row r="592" spans="1:55" ht="13" customHeight="1">
      <c r="A592" s="17"/>
      <c r="T592" s="17"/>
      <c r="AZ592" s="2"/>
      <c r="BA592" s="2"/>
      <c r="BB592" s="2"/>
      <c r="BC592" s="2"/>
    </row>
    <row r="593" spans="1:55" ht="13" customHeight="1">
      <c r="A593" s="36" t="s">
        <v>1405</v>
      </c>
      <c r="B593" t="s">
        <v>1412</v>
      </c>
      <c r="G593" s="1435">
        <f>C560</f>
        <v>0</v>
      </c>
      <c r="H593" s="1435"/>
      <c r="I593" s="1435"/>
      <c r="J593" s="1435"/>
      <c r="K593" s="1435"/>
      <c r="L593" s="1435"/>
      <c r="M593" s="1435"/>
      <c r="N593" s="1435"/>
      <c r="O593" s="1435"/>
      <c r="P593" s="1435"/>
      <c r="Q593" s="1435"/>
      <c r="R593" s="1435"/>
      <c r="T593" s="36" t="s">
        <v>1406</v>
      </c>
      <c r="U593" t="s">
        <v>1412</v>
      </c>
      <c r="Z593" s="1435">
        <f>C561</f>
        <v>0</v>
      </c>
      <c r="AA593" s="1435"/>
      <c r="AB593" s="1435"/>
      <c r="AC593" s="1435"/>
      <c r="AD593" s="1435"/>
      <c r="AE593" s="1435"/>
      <c r="AF593" s="1435"/>
      <c r="AG593" s="1435"/>
      <c r="AH593" s="1435"/>
      <c r="AI593" s="1435"/>
      <c r="AJ593" s="1435"/>
      <c r="AK593" s="1435"/>
      <c r="AZ593" s="2"/>
      <c r="BA593" s="2"/>
      <c r="BB593" s="2"/>
      <c r="BC593" s="2"/>
    </row>
    <row r="594" spans="1:55" s="3" customFormat="1" ht="13" customHeight="1">
      <c r="A594" s="17"/>
      <c r="B594" t="s">
        <v>1065</v>
      </c>
      <c r="C594"/>
      <c r="D594"/>
      <c r="E594"/>
      <c r="F594"/>
      <c r="G594" s="1359"/>
      <c r="H594" s="1359"/>
      <c r="I594" s="1359"/>
      <c r="J594" s="1359"/>
      <c r="K594" s="1359"/>
      <c r="L594" s="1359"/>
      <c r="M594" s="1359"/>
      <c r="N594" s="1359"/>
      <c r="O594" s="1359"/>
      <c r="P594" s="1359"/>
      <c r="Q594" s="1359"/>
      <c r="R594" s="1359"/>
      <c r="S594"/>
      <c r="T594" s="17"/>
      <c r="U594" t="s">
        <v>1065</v>
      </c>
      <c r="V594"/>
      <c r="W594"/>
      <c r="X594"/>
      <c r="Y594"/>
      <c r="Z594" s="1359"/>
      <c r="AA594" s="1359"/>
      <c r="AB594" s="1359"/>
      <c r="AC594" s="1359"/>
      <c r="AD594" s="1359"/>
      <c r="AE594" s="1359"/>
      <c r="AF594" s="1359"/>
      <c r="AG594" s="1359"/>
      <c r="AH594" s="1359"/>
      <c r="AI594" s="1359"/>
      <c r="AJ594" s="1359"/>
      <c r="AK594" s="1359"/>
      <c r="AL594"/>
      <c r="AM594"/>
      <c r="AN594"/>
      <c r="AO594"/>
      <c r="AP594"/>
      <c r="AQ594"/>
      <c r="AR594"/>
      <c r="AS594"/>
      <c r="AT594"/>
      <c r="AU594"/>
      <c r="AV594"/>
      <c r="AW594"/>
      <c r="AX594"/>
      <c r="AY594"/>
      <c r="AZ594" s="2"/>
      <c r="BA594" s="2"/>
      <c r="BB594" s="2"/>
      <c r="BC594" s="2"/>
    </row>
    <row r="595" spans="1:55" s="3" customFormat="1" ht="13" customHeight="1">
      <c r="A595" s="17"/>
      <c r="B595" t="s">
        <v>932</v>
      </c>
      <c r="C595"/>
      <c r="D595"/>
      <c r="E595"/>
      <c r="F595"/>
      <c r="G595" s="1359"/>
      <c r="H595" s="1359"/>
      <c r="I595" s="1359"/>
      <c r="J595" s="1359"/>
      <c r="K595" s="1359"/>
      <c r="L595" s="1359"/>
      <c r="M595" s="1359"/>
      <c r="N595" s="1359"/>
      <c r="O595" s="1359"/>
      <c r="P595" s="1359"/>
      <c r="Q595" s="1359"/>
      <c r="R595" s="1359"/>
      <c r="S595"/>
      <c r="T595" s="17"/>
      <c r="U595" t="s">
        <v>932</v>
      </c>
      <c r="V595"/>
      <c r="W595"/>
      <c r="X595"/>
      <c r="Y595"/>
      <c r="Z595" s="1326"/>
      <c r="AA595" s="1326"/>
      <c r="AB595" s="1326"/>
      <c r="AC595" s="1326"/>
      <c r="AD595" s="1326"/>
      <c r="AE595" s="1326"/>
      <c r="AF595" s="1326"/>
      <c r="AG595" s="1326"/>
      <c r="AH595" s="1326"/>
      <c r="AI595" s="1326"/>
      <c r="AJ595" s="1326"/>
      <c r="AK595" s="1326"/>
      <c r="AL595"/>
      <c r="AM595"/>
      <c r="AN595"/>
      <c r="AO595"/>
      <c r="AP595"/>
      <c r="AQ595"/>
      <c r="AR595"/>
      <c r="AS595"/>
      <c r="AT595"/>
      <c r="AU595"/>
      <c r="AV595"/>
      <c r="AW595"/>
      <c r="AX595"/>
      <c r="AY595"/>
      <c r="AZ595" s="2"/>
      <c r="BA595" s="2"/>
      <c r="BB595" s="2"/>
      <c r="BC595" s="2"/>
    </row>
    <row r="596" spans="1:55" s="3" customFormat="1" ht="13" customHeight="1">
      <c r="A596" s="17"/>
      <c r="B596" t="s">
        <v>1414</v>
      </c>
      <c r="C596"/>
      <c r="D596"/>
      <c r="E596"/>
      <c r="F596"/>
      <c r="G596" s="1359"/>
      <c r="H596" s="1359"/>
      <c r="I596" s="1359"/>
      <c r="J596" s="1359"/>
      <c r="K596" s="1359"/>
      <c r="L596" s="1359"/>
      <c r="M596" s="1359"/>
      <c r="N596" s="1359"/>
      <c r="O596" s="1359"/>
      <c r="P596" s="1359"/>
      <c r="Q596" s="1359"/>
      <c r="R596" s="1359"/>
      <c r="S596"/>
      <c r="T596" s="17"/>
      <c r="U596" t="s">
        <v>1414</v>
      </c>
      <c r="V596"/>
      <c r="W596"/>
      <c r="X596"/>
      <c r="Y596"/>
      <c r="Z596" s="1326"/>
      <c r="AA596" s="1326"/>
      <c r="AB596" s="1326"/>
      <c r="AC596" s="1326"/>
      <c r="AD596" s="1326"/>
      <c r="AE596" s="1326"/>
      <c r="AF596" s="1326"/>
      <c r="AG596" s="1326"/>
      <c r="AH596" s="1326"/>
      <c r="AI596" s="1326"/>
      <c r="AJ596" s="1326"/>
      <c r="AK596" s="1326"/>
      <c r="AL596"/>
      <c r="AM596"/>
      <c r="AN596"/>
      <c r="AO596"/>
      <c r="AP596"/>
      <c r="AQ596"/>
      <c r="AR596"/>
      <c r="AS596"/>
      <c r="AT596"/>
      <c r="AU596"/>
      <c r="AV596"/>
      <c r="AW596"/>
      <c r="AX596"/>
      <c r="AY596"/>
      <c r="AZ596" s="2"/>
      <c r="BA596" s="2"/>
      <c r="BB596" s="2"/>
      <c r="BC596" s="2"/>
    </row>
    <row r="597" spans="1:55" s="3" customFormat="1" ht="13" customHeight="1">
      <c r="A597" s="17"/>
      <c r="B597" t="s">
        <v>825</v>
      </c>
      <c r="C597"/>
      <c r="D597"/>
      <c r="E597"/>
      <c r="F597"/>
      <c r="G597" s="1439"/>
      <c r="H597" s="1439"/>
      <c r="I597" s="1439"/>
      <c r="J597" s="1439"/>
      <c r="K597" s="1439"/>
      <c r="L597" s="1439"/>
      <c r="M597"/>
      <c r="N597"/>
      <c r="O597" s="819" t="s">
        <v>1074</v>
      </c>
      <c r="P597" s="1423"/>
      <c r="Q597" s="1423"/>
      <c r="R597" s="1423"/>
      <c r="S597"/>
      <c r="T597" s="17"/>
      <c r="U597" t="s">
        <v>825</v>
      </c>
      <c r="V597"/>
      <c r="W597"/>
      <c r="X597"/>
      <c r="Y597"/>
      <c r="Z597" s="1439"/>
      <c r="AA597" s="1439"/>
      <c r="AB597" s="1439"/>
      <c r="AC597" s="1439"/>
      <c r="AD597" s="1439"/>
      <c r="AE597" s="1439"/>
      <c r="AF597"/>
      <c r="AG597"/>
      <c r="AH597" s="819" t="s">
        <v>1074</v>
      </c>
      <c r="AI597" s="1423"/>
      <c r="AJ597" s="1423"/>
      <c r="AK597" s="1423"/>
      <c r="AL597"/>
      <c r="AM597"/>
      <c r="AN597"/>
      <c r="AO597"/>
      <c r="AP597"/>
      <c r="AQ597"/>
      <c r="AR597"/>
      <c r="AS597"/>
      <c r="AT597"/>
      <c r="AU597"/>
      <c r="AV597"/>
      <c r="AW597"/>
      <c r="AX597"/>
      <c r="AY597"/>
      <c r="AZ597" s="2"/>
      <c r="BA597" s="2"/>
      <c r="BB597" s="2"/>
      <c r="BC597" s="2"/>
    </row>
    <row r="598" spans="1:55" s="3" customFormat="1" ht="13" customHeight="1">
      <c r="A598" s="17"/>
      <c r="B598" t="s">
        <v>1417</v>
      </c>
      <c r="C598"/>
      <c r="D598"/>
      <c r="E598"/>
      <c r="F598"/>
      <c r="G598"/>
      <c r="H598" s="1359"/>
      <c r="I598" s="1359"/>
      <c r="J598" s="1359"/>
      <c r="K598" s="1359"/>
      <c r="L598" s="1359"/>
      <c r="M598" s="1359"/>
      <c r="N598" s="1359"/>
      <c r="O598" s="1359"/>
      <c r="P598" s="1359"/>
      <c r="Q598" s="1359"/>
      <c r="R598" s="1359"/>
      <c r="S598"/>
      <c r="T598" s="17"/>
      <c r="U598" t="s">
        <v>1417</v>
      </c>
      <c r="V598"/>
      <c r="W598"/>
      <c r="X598"/>
      <c r="Y598"/>
      <c r="Z598"/>
      <c r="AA598" s="1359"/>
      <c r="AB598" s="1359"/>
      <c r="AC598" s="1359"/>
      <c r="AD598" s="1359"/>
      <c r="AE598" s="1359"/>
      <c r="AF598" s="1359"/>
      <c r="AG598" s="1359"/>
      <c r="AH598" s="1359"/>
      <c r="AI598" s="1359"/>
      <c r="AJ598" s="1359"/>
      <c r="AK598" s="1359"/>
      <c r="AL598"/>
      <c r="AM598"/>
      <c r="AN598"/>
      <c r="AO598"/>
      <c r="AP598"/>
      <c r="AQ598"/>
      <c r="AR598"/>
      <c r="AS598"/>
      <c r="AT598"/>
      <c r="AU598"/>
      <c r="AV598"/>
      <c r="AW598"/>
      <c r="AX598"/>
      <c r="AY598"/>
      <c r="AZ598" s="2"/>
      <c r="BA598" s="2"/>
      <c r="BB598" s="2"/>
      <c r="BC598" s="2"/>
    </row>
    <row r="599" spans="1:55" ht="13" customHeight="1">
      <c r="A599" s="17"/>
      <c r="B599" t="s">
        <v>1421</v>
      </c>
      <c r="N599" s="1367" t="s">
        <v>694</v>
      </c>
      <c r="O599" s="1367"/>
      <c r="T599" s="17"/>
      <c r="U599" t="s">
        <v>1421</v>
      </c>
      <c r="AG599" s="1367" t="s">
        <v>694</v>
      </c>
      <c r="AH599" s="1367"/>
      <c r="BB599" s="2"/>
      <c r="BC599" s="2"/>
    </row>
    <row r="600" spans="1:55" ht="13" customHeight="1">
      <c r="A600" s="17"/>
      <c r="T600" s="17"/>
      <c r="BB600" s="2"/>
      <c r="BC600" s="2"/>
    </row>
    <row r="601" spans="1:55" ht="13" customHeight="1">
      <c r="A601" s="36" t="s">
        <v>1407</v>
      </c>
      <c r="B601" t="s">
        <v>1412</v>
      </c>
      <c r="G601" s="1435">
        <f>C562</f>
        <v>0</v>
      </c>
      <c r="H601" s="1435"/>
      <c r="I601" s="1435"/>
      <c r="J601" s="1435"/>
      <c r="K601" s="1435"/>
      <c r="L601" s="1435"/>
      <c r="M601" s="1435"/>
      <c r="N601" s="1435"/>
      <c r="O601" s="1435"/>
      <c r="P601" s="1435"/>
      <c r="Q601" s="1435"/>
      <c r="R601" s="1435"/>
      <c r="T601" s="36" t="s">
        <v>1408</v>
      </c>
      <c r="U601" t="s">
        <v>1412</v>
      </c>
      <c r="Z601" s="1435">
        <f>C563</f>
        <v>0</v>
      </c>
      <c r="AA601" s="1435"/>
      <c r="AB601" s="1435"/>
      <c r="AC601" s="1435"/>
      <c r="AD601" s="1435"/>
      <c r="AE601" s="1435"/>
      <c r="AF601" s="1435"/>
      <c r="AG601" s="1435"/>
      <c r="AH601" s="1435"/>
      <c r="AI601" s="1435"/>
      <c r="AJ601" s="1435"/>
      <c r="AK601" s="1435"/>
      <c r="BB601" s="2"/>
      <c r="BC601" s="2"/>
    </row>
    <row r="602" spans="1:55" ht="13" customHeight="1">
      <c r="A602" s="17"/>
      <c r="B602" t="s">
        <v>1065</v>
      </c>
      <c r="G602" s="1359"/>
      <c r="H602" s="1359"/>
      <c r="I602" s="1359"/>
      <c r="J602" s="1359"/>
      <c r="K602" s="1359"/>
      <c r="L602" s="1359"/>
      <c r="M602" s="1359"/>
      <c r="N602" s="1359"/>
      <c r="O602" s="1359"/>
      <c r="P602" s="1359"/>
      <c r="Q602" s="1359"/>
      <c r="R602" s="1359"/>
      <c r="T602" s="17"/>
      <c r="U602" t="s">
        <v>1065</v>
      </c>
      <c r="Z602" s="1359"/>
      <c r="AA602" s="1359"/>
      <c r="AB602" s="1359"/>
      <c r="AC602" s="1359"/>
      <c r="AD602" s="1359"/>
      <c r="AE602" s="1359"/>
      <c r="AF602" s="1359"/>
      <c r="AG602" s="1359"/>
      <c r="AH602" s="1359"/>
      <c r="AI602" s="1359"/>
      <c r="AJ602" s="1359"/>
      <c r="AK602" s="1359"/>
      <c r="AZ602" s="2"/>
      <c r="BA602" s="2"/>
      <c r="BB602" s="2"/>
      <c r="BC602" s="2"/>
    </row>
    <row r="603" spans="1:55" ht="13" customHeight="1">
      <c r="A603" s="17"/>
      <c r="B603" t="s">
        <v>932</v>
      </c>
      <c r="G603" s="1359"/>
      <c r="H603" s="1359"/>
      <c r="I603" s="1359"/>
      <c r="J603" s="1359"/>
      <c r="K603" s="1359"/>
      <c r="L603" s="1359"/>
      <c r="M603" s="1359"/>
      <c r="N603" s="1359"/>
      <c r="O603" s="1359"/>
      <c r="P603" s="1359"/>
      <c r="Q603" s="1359"/>
      <c r="R603" s="1359"/>
      <c r="T603" s="17"/>
      <c r="U603" t="s">
        <v>932</v>
      </c>
      <c r="Z603" s="1326"/>
      <c r="AA603" s="1326"/>
      <c r="AB603" s="1326"/>
      <c r="AC603" s="1326"/>
      <c r="AD603" s="1326"/>
      <c r="AE603" s="1326"/>
      <c r="AF603" s="1326"/>
      <c r="AG603" s="1326"/>
      <c r="AH603" s="1326"/>
      <c r="AI603" s="1326"/>
      <c r="AJ603" s="1326"/>
      <c r="AK603" s="1326"/>
      <c r="AZ603" s="2"/>
      <c r="BA603" s="2"/>
      <c r="BB603" s="2"/>
      <c r="BC603" s="2"/>
    </row>
    <row r="604" spans="1:55" ht="13" customHeight="1">
      <c r="A604" s="17"/>
      <c r="B604" t="s">
        <v>1414</v>
      </c>
      <c r="G604" s="1359"/>
      <c r="H604" s="1359"/>
      <c r="I604" s="1359"/>
      <c r="J604" s="1359"/>
      <c r="K604" s="1359"/>
      <c r="L604" s="1359"/>
      <c r="M604" s="1359"/>
      <c r="N604" s="1359"/>
      <c r="O604" s="1359"/>
      <c r="P604" s="1359"/>
      <c r="Q604" s="1359"/>
      <c r="R604" s="1359"/>
      <c r="T604" s="17"/>
      <c r="U604" t="s">
        <v>1414</v>
      </c>
      <c r="Z604" s="1326"/>
      <c r="AA604" s="1326"/>
      <c r="AB604" s="1326"/>
      <c r="AC604" s="1326"/>
      <c r="AD604" s="1326"/>
      <c r="AE604" s="1326"/>
      <c r="AF604" s="1326"/>
      <c r="AG604" s="1326"/>
      <c r="AH604" s="1326"/>
      <c r="AI604" s="1326"/>
      <c r="AJ604" s="1326"/>
      <c r="AK604" s="1326"/>
      <c r="AZ604" s="2"/>
      <c r="BA604" s="2"/>
      <c r="BB604" s="2"/>
      <c r="BC604" s="2"/>
    </row>
    <row r="605" spans="1:55" s="3" customFormat="1" ht="13" customHeight="1">
      <c r="A605" s="17"/>
      <c r="B605" t="s">
        <v>825</v>
      </c>
      <c r="C605"/>
      <c r="D605"/>
      <c r="E605"/>
      <c r="F605"/>
      <c r="G605" s="1439"/>
      <c r="H605" s="1439"/>
      <c r="I605" s="1439"/>
      <c r="J605" s="1439"/>
      <c r="K605" s="1439"/>
      <c r="L605" s="1439"/>
      <c r="M605"/>
      <c r="N605"/>
      <c r="O605" s="819" t="s">
        <v>1074</v>
      </c>
      <c r="P605" s="1423"/>
      <c r="Q605" s="1423"/>
      <c r="R605" s="1423"/>
      <c r="S605"/>
      <c r="T605" s="17"/>
      <c r="U605" t="s">
        <v>825</v>
      </c>
      <c r="V605"/>
      <c r="W605"/>
      <c r="X605"/>
      <c r="Y605"/>
      <c r="Z605" s="1439"/>
      <c r="AA605" s="1439"/>
      <c r="AB605" s="1439"/>
      <c r="AC605" s="1439"/>
      <c r="AD605" s="1439"/>
      <c r="AE605" s="1439"/>
      <c r="AF605"/>
      <c r="AG605"/>
      <c r="AH605" s="819" t="s">
        <v>1074</v>
      </c>
      <c r="AI605" s="1423"/>
      <c r="AJ605" s="1423"/>
      <c r="AK605" s="1423"/>
      <c r="AL605"/>
      <c r="AM605"/>
      <c r="AN605"/>
      <c r="AO605"/>
      <c r="AP605"/>
      <c r="AQ605"/>
      <c r="AR605"/>
      <c r="AS605"/>
      <c r="AT605"/>
      <c r="AU605"/>
      <c r="AV605"/>
      <c r="AW605"/>
      <c r="AX605"/>
      <c r="AY605"/>
      <c r="AZ605" s="2"/>
      <c r="BA605" s="2"/>
      <c r="BB605" s="2"/>
      <c r="BC605" s="2"/>
    </row>
    <row r="606" spans="1:55" s="3" customFormat="1" ht="13" customHeight="1">
      <c r="A606" s="17"/>
      <c r="B606" t="s">
        <v>1417</v>
      </c>
      <c r="C606"/>
      <c r="D606"/>
      <c r="E606"/>
      <c r="F606"/>
      <c r="G606"/>
      <c r="H606" s="1359"/>
      <c r="I606" s="1359"/>
      <c r="J606" s="1359"/>
      <c r="K606" s="1359"/>
      <c r="L606" s="1359"/>
      <c r="M606" s="1359"/>
      <c r="N606" s="1359"/>
      <c r="O606" s="1359"/>
      <c r="P606" s="1359"/>
      <c r="Q606" s="1359"/>
      <c r="R606" s="1359"/>
      <c r="S606"/>
      <c r="T606" s="17"/>
      <c r="U606" t="s">
        <v>1417</v>
      </c>
      <c r="V606"/>
      <c r="W606"/>
      <c r="X606"/>
      <c r="Y606"/>
      <c r="Z606"/>
      <c r="AA606" s="1359"/>
      <c r="AB606" s="1359"/>
      <c r="AC606" s="1359"/>
      <c r="AD606" s="1359"/>
      <c r="AE606" s="1359"/>
      <c r="AF606" s="1359"/>
      <c r="AG606" s="1359"/>
      <c r="AH606" s="1359"/>
      <c r="AI606" s="1359"/>
      <c r="AJ606" s="1359"/>
      <c r="AK606" s="1359"/>
      <c r="AL606"/>
      <c r="AM606"/>
      <c r="AN606"/>
      <c r="AO606"/>
      <c r="AP606"/>
      <c r="AQ606"/>
      <c r="AR606"/>
      <c r="AS606"/>
      <c r="AT606"/>
      <c r="AU606"/>
      <c r="AV606"/>
      <c r="AW606"/>
      <c r="AX606"/>
      <c r="AY606"/>
      <c r="AZ606" s="2"/>
      <c r="BA606" s="2"/>
      <c r="BB606" s="2"/>
      <c r="BC606" s="2"/>
    </row>
    <row r="607" spans="1:55" s="3" customFormat="1" ht="13" customHeight="1">
      <c r="A607" s="17"/>
      <c r="B607" t="s">
        <v>1421</v>
      </c>
      <c r="C607"/>
      <c r="D607"/>
      <c r="E607"/>
      <c r="F607"/>
      <c r="G607"/>
      <c r="H607"/>
      <c r="I607"/>
      <c r="J607"/>
      <c r="K607"/>
      <c r="L607"/>
      <c r="M607"/>
      <c r="N607" s="1367" t="s">
        <v>694</v>
      </c>
      <c r="O607" s="1367"/>
      <c r="P607"/>
      <c r="Q607"/>
      <c r="R607"/>
      <c r="S607"/>
      <c r="T607" s="17"/>
      <c r="U607" t="s">
        <v>1421</v>
      </c>
      <c r="V607"/>
      <c r="W607"/>
      <c r="X607"/>
      <c r="Y607"/>
      <c r="Z607"/>
      <c r="AA607"/>
      <c r="AB607"/>
      <c r="AC607"/>
      <c r="AD607"/>
      <c r="AE607"/>
      <c r="AF607"/>
      <c r="AG607" s="1367" t="s">
        <v>694</v>
      </c>
      <c r="AH607" s="1367"/>
      <c r="AI607"/>
      <c r="AJ607"/>
      <c r="AK607"/>
      <c r="AL607"/>
      <c r="AM607"/>
      <c r="AN607"/>
      <c r="AO607"/>
      <c r="AP607"/>
      <c r="AQ607"/>
      <c r="AR607"/>
      <c r="AS607"/>
      <c r="AT607"/>
      <c r="AU607"/>
      <c r="AV607"/>
      <c r="AW607"/>
      <c r="AX607"/>
      <c r="AY607"/>
      <c r="AZ607" s="2"/>
      <c r="BA607" s="2"/>
      <c r="BB607" s="2"/>
      <c r="BC607" s="2"/>
    </row>
    <row r="608" spans="1:55" ht="13" customHeight="1">
      <c r="A608" s="17"/>
      <c r="T608" s="17"/>
      <c r="AZ608" s="2"/>
      <c r="BA608" s="2"/>
      <c r="BB608" s="2"/>
      <c r="BC608" s="2"/>
    </row>
    <row r="609" spans="1:55" ht="13" customHeight="1">
      <c r="A609" s="36" t="s">
        <v>1409</v>
      </c>
      <c r="B609" t="s">
        <v>1412</v>
      </c>
      <c r="G609" s="1435">
        <f>C564</f>
        <v>0</v>
      </c>
      <c r="H609" s="1435"/>
      <c r="I609" s="1435"/>
      <c r="J609" s="1435"/>
      <c r="K609" s="1435"/>
      <c r="L609" s="1435"/>
      <c r="M609" s="1435"/>
      <c r="N609" s="1435"/>
      <c r="O609" s="1435"/>
      <c r="P609" s="1435"/>
      <c r="Q609" s="1435"/>
      <c r="R609" s="1435"/>
      <c r="T609" s="36" t="s">
        <v>1410</v>
      </c>
      <c r="U609" t="s">
        <v>1412</v>
      </c>
      <c r="Z609" s="1435">
        <f>C565</f>
        <v>0</v>
      </c>
      <c r="AA609" s="1435"/>
      <c r="AB609" s="1435"/>
      <c r="AC609" s="1435"/>
      <c r="AD609" s="1435"/>
      <c r="AE609" s="1435"/>
      <c r="AF609" s="1435"/>
      <c r="AG609" s="1435"/>
      <c r="AH609" s="1435"/>
      <c r="AI609" s="1435"/>
      <c r="AJ609" s="1435"/>
      <c r="AK609" s="1435"/>
      <c r="AZ609" s="2"/>
      <c r="BA609" s="2"/>
      <c r="BB609" s="2"/>
      <c r="BC609" s="2"/>
    </row>
    <row r="610" spans="1:55" ht="13" customHeight="1">
      <c r="B610" t="s">
        <v>1065</v>
      </c>
      <c r="G610" s="1359"/>
      <c r="H610" s="1359"/>
      <c r="I610" s="1359"/>
      <c r="J610" s="1359"/>
      <c r="K610" s="1359"/>
      <c r="L610" s="1359"/>
      <c r="M610" s="1359"/>
      <c r="N610" s="1359"/>
      <c r="O610" s="1359"/>
      <c r="P610" s="1359"/>
      <c r="Q610" s="1359"/>
      <c r="R610" s="1359"/>
      <c r="U610" t="s">
        <v>1065</v>
      </c>
      <c r="Z610" s="1359"/>
      <c r="AA610" s="1359"/>
      <c r="AB610" s="1359"/>
      <c r="AC610" s="1359"/>
      <c r="AD610" s="1359"/>
      <c r="AE610" s="1359"/>
      <c r="AF610" s="1359"/>
      <c r="AG610" s="1359"/>
      <c r="AH610" s="1359"/>
      <c r="AI610" s="1359"/>
      <c r="AJ610" s="1359"/>
      <c r="AK610" s="1359"/>
      <c r="AZ610" s="2"/>
      <c r="BA610" s="2"/>
      <c r="BB610" s="2"/>
      <c r="BC610" s="2"/>
    </row>
    <row r="611" spans="1:55" ht="13" customHeight="1">
      <c r="B611" t="s">
        <v>932</v>
      </c>
      <c r="G611" s="1359"/>
      <c r="H611" s="1359"/>
      <c r="I611" s="1359"/>
      <c r="J611" s="1359"/>
      <c r="K611" s="1359"/>
      <c r="L611" s="1359"/>
      <c r="M611" s="1359"/>
      <c r="N611" s="1359"/>
      <c r="O611" s="1359"/>
      <c r="P611" s="1359"/>
      <c r="Q611" s="1359"/>
      <c r="R611" s="1359"/>
      <c r="U611" t="s">
        <v>932</v>
      </c>
      <c r="Z611" s="1326"/>
      <c r="AA611" s="1326"/>
      <c r="AB611" s="1326"/>
      <c r="AC611" s="1326"/>
      <c r="AD611" s="1326"/>
      <c r="AE611" s="1326"/>
      <c r="AF611" s="1326"/>
      <c r="AG611" s="1326"/>
      <c r="AH611" s="1326"/>
      <c r="AI611" s="1326"/>
      <c r="AJ611" s="1326"/>
      <c r="AK611" s="1326"/>
      <c r="AZ611" s="2"/>
      <c r="BA611" s="2"/>
      <c r="BB611" s="2"/>
      <c r="BC611" s="2"/>
    </row>
    <row r="612" spans="1:55" ht="13" customHeight="1">
      <c r="B612" t="s">
        <v>1414</v>
      </c>
      <c r="G612" s="1359"/>
      <c r="H612" s="1359"/>
      <c r="I612" s="1359"/>
      <c r="J612" s="1359"/>
      <c r="K612" s="1359"/>
      <c r="L612" s="1359"/>
      <c r="M612" s="1359"/>
      <c r="N612" s="1359"/>
      <c r="O612" s="1359"/>
      <c r="P612" s="1359"/>
      <c r="Q612" s="1359"/>
      <c r="R612" s="1359"/>
      <c r="U612" t="s">
        <v>1414</v>
      </c>
      <c r="Z612" s="1326"/>
      <c r="AA612" s="1326"/>
      <c r="AB612" s="1326"/>
      <c r="AC612" s="1326"/>
      <c r="AD612" s="1326"/>
      <c r="AE612" s="1326"/>
      <c r="AF612" s="1326"/>
      <c r="AG612" s="1326"/>
      <c r="AH612" s="1326"/>
      <c r="AI612" s="1326"/>
      <c r="AJ612" s="1326"/>
      <c r="AK612" s="1326"/>
      <c r="AZ612" s="2"/>
      <c r="BA612" s="2"/>
      <c r="BB612" s="2"/>
      <c r="BC612" s="2"/>
    </row>
    <row r="613" spans="1:55" ht="13" customHeight="1">
      <c r="B613" t="s">
        <v>825</v>
      </c>
      <c r="G613" s="1439"/>
      <c r="H613" s="1439"/>
      <c r="I613" s="1439"/>
      <c r="J613" s="1439"/>
      <c r="K613" s="1439"/>
      <c r="L613" s="1439"/>
      <c r="O613" s="819" t="s">
        <v>1074</v>
      </c>
      <c r="P613" s="1423"/>
      <c r="Q613" s="1423"/>
      <c r="R613" s="1423"/>
      <c r="U613" t="s">
        <v>825</v>
      </c>
      <c r="Z613" s="1439"/>
      <c r="AA613" s="1439"/>
      <c r="AB613" s="1439"/>
      <c r="AC613" s="1439"/>
      <c r="AD613" s="1439"/>
      <c r="AE613" s="1439"/>
      <c r="AH613" s="819" t="s">
        <v>1074</v>
      </c>
      <c r="AI613" s="1423"/>
      <c r="AJ613" s="1423"/>
      <c r="AK613" s="1423"/>
      <c r="AZ613" s="2"/>
      <c r="BA613" s="2"/>
      <c r="BB613" s="2"/>
      <c r="BC613" s="2"/>
    </row>
    <row r="614" spans="1:55" ht="13" customHeight="1">
      <c r="B614" t="s">
        <v>1417</v>
      </c>
      <c r="H614" s="1359"/>
      <c r="I614" s="1359"/>
      <c r="J614" s="1359"/>
      <c r="K614" s="1359"/>
      <c r="L614" s="1359"/>
      <c r="M614" s="1359"/>
      <c r="N614" s="1359"/>
      <c r="O614" s="1359"/>
      <c r="P614" s="1359"/>
      <c r="Q614" s="1359"/>
      <c r="R614" s="1359"/>
      <c r="U614" t="s">
        <v>1417</v>
      </c>
      <c r="AA614" s="1359"/>
      <c r="AB614" s="1359"/>
      <c r="AC614" s="1359"/>
      <c r="AD614" s="1359"/>
      <c r="AE614" s="1359"/>
      <c r="AF614" s="1359"/>
      <c r="AG614" s="1359"/>
      <c r="AH614" s="1359"/>
      <c r="AI614" s="1359"/>
      <c r="AJ614" s="1359"/>
      <c r="AK614" s="1359"/>
      <c r="AU614" s="710"/>
      <c r="AV614" s="710"/>
      <c r="AW614" s="710"/>
      <c r="AX614" s="710"/>
      <c r="AY614" s="710"/>
      <c r="AZ614" s="2"/>
      <c r="BA614" s="2"/>
      <c r="BB614" s="2"/>
      <c r="BC614" s="2"/>
    </row>
    <row r="615" spans="1:55" ht="13" customHeight="1">
      <c r="B615" t="s">
        <v>1421</v>
      </c>
      <c r="N615" s="1367" t="s">
        <v>694</v>
      </c>
      <c r="O615" s="1367"/>
      <c r="U615" t="s">
        <v>1421</v>
      </c>
      <c r="AG615" s="1367" t="s">
        <v>694</v>
      </c>
      <c r="AH615" s="1367"/>
      <c r="AU615" s="710"/>
      <c r="AV615" s="710"/>
      <c r="AW615" s="710"/>
      <c r="AX615" s="710"/>
      <c r="AY615" s="710"/>
      <c r="AZ615" s="2"/>
      <c r="BA615" s="2"/>
      <c r="BB615" s="2"/>
      <c r="BC615" s="2"/>
    </row>
    <row r="616" spans="1:55" ht="13" customHeight="1">
      <c r="AZ616" s="2"/>
      <c r="BA616" s="2"/>
      <c r="BB616" s="2"/>
      <c r="BC616" s="2"/>
    </row>
    <row r="617" spans="1:55" ht="13" customHeight="1">
      <c r="A617" s="1231" t="s">
        <v>1426</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2"/>
      <c r="BA617" s="2"/>
      <c r="BB617" s="2"/>
      <c r="BC617" s="2"/>
    </row>
    <row r="618" spans="1:55" ht="13"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2"/>
      <c r="BA618" s="2"/>
      <c r="BB618" s="2"/>
      <c r="BC618" s="2"/>
    </row>
    <row r="619" spans="1:55" ht="13" customHeight="1">
      <c r="AZ619" s="2"/>
      <c r="BA619" s="2"/>
      <c r="BB619" s="2"/>
      <c r="BC619" s="2"/>
    </row>
    <row r="620" spans="1:55" ht="13" customHeight="1">
      <c r="A620" s="1" t="s">
        <v>872</v>
      </c>
      <c r="B620" s="1"/>
      <c r="C620" s="1" t="s">
        <v>175</v>
      </c>
      <c r="AZ620" s="2"/>
      <c r="BA620" s="2"/>
      <c r="BB620" s="2"/>
      <c r="BC620" s="2"/>
    </row>
    <row r="621" spans="1:55" ht="13" customHeight="1">
      <c r="A621" s="1"/>
      <c r="B621" s="1"/>
      <c r="C621" s="1"/>
      <c r="AZ621" s="2"/>
      <c r="BA621" s="2"/>
      <c r="BB621" s="2"/>
      <c r="BC621" s="2"/>
    </row>
    <row r="622" spans="1:55" ht="13" customHeight="1">
      <c r="C622" s="1" t="s">
        <v>1390</v>
      </c>
      <c r="AZ622" s="2"/>
      <c r="BA622" s="2"/>
      <c r="BB622" s="2"/>
      <c r="BC622" s="2"/>
    </row>
    <row r="623" spans="1:55" ht="13" customHeight="1">
      <c r="B623" s="363"/>
      <c r="C623" s="1"/>
      <c r="AU623" s="2"/>
      <c r="AZ623" s="2"/>
      <c r="BA623" s="2"/>
      <c r="BB623" s="2"/>
      <c r="BC623" s="2"/>
    </row>
    <row r="624" spans="1:55" ht="13" customHeight="1">
      <c r="B624" s="1608" t="s">
        <v>1391</v>
      </c>
      <c r="C624" s="1608"/>
      <c r="D624" s="1608"/>
      <c r="E624" s="1608"/>
      <c r="F624" s="1608"/>
      <c r="G624" s="1608"/>
      <c r="H624" s="1608"/>
      <c r="I624" s="1608"/>
      <c r="J624" s="1608"/>
      <c r="K624" s="1608"/>
      <c r="L624" s="1608"/>
      <c r="M624" s="1613" t="s">
        <v>1392</v>
      </c>
      <c r="N624" s="1613"/>
      <c r="O624" s="1613"/>
      <c r="P624" s="1613"/>
      <c r="Q624" s="1613" t="s">
        <v>1427</v>
      </c>
      <c r="R624" s="1613"/>
      <c r="S624" s="1613"/>
      <c r="T624" s="1613" t="s">
        <v>1428</v>
      </c>
      <c r="U624" s="1613"/>
      <c r="V624" s="1613"/>
      <c r="W624" s="1609" t="s">
        <v>1395</v>
      </c>
      <c r="X624" s="1609"/>
      <c r="Y624" s="1609"/>
      <c r="Z624" s="1349" t="s">
        <v>1429</v>
      </c>
      <c r="AA624" s="1349"/>
      <c r="AB624" s="1350"/>
      <c r="AC624" s="1614" t="s">
        <v>1397</v>
      </c>
      <c r="AD624" s="1615"/>
      <c r="AE624" s="1616"/>
      <c r="AF624" s="1348" t="s">
        <v>1430</v>
      </c>
      <c r="AG624" s="1349"/>
      <c r="AH624" s="1349"/>
      <c r="AI624" s="1349"/>
      <c r="AJ624" s="1350"/>
      <c r="AK624" s="1531" t="s">
        <v>1431</v>
      </c>
      <c r="AL624" s="1532"/>
      <c r="AM624" s="1532"/>
      <c r="AN624" s="1533"/>
      <c r="AO624" s="1613" t="s">
        <v>1399</v>
      </c>
      <c r="AP624" s="1613"/>
      <c r="AQ624" s="1613"/>
      <c r="AR624" s="1613"/>
      <c r="AS624" s="1613"/>
      <c r="AU624" s="2"/>
      <c r="AZ624" s="2"/>
      <c r="BA624" s="2"/>
      <c r="BB624" s="2"/>
      <c r="BC624" s="2"/>
    </row>
    <row r="625" spans="2:157" ht="13" customHeight="1">
      <c r="B625" s="1608"/>
      <c r="C625" s="1608"/>
      <c r="D625" s="1608"/>
      <c r="E625" s="1608"/>
      <c r="F625" s="1608"/>
      <c r="G625" s="1608"/>
      <c r="H625" s="1608"/>
      <c r="I625" s="1608"/>
      <c r="J625" s="1608"/>
      <c r="K625" s="1608"/>
      <c r="L625" s="1608"/>
      <c r="M625" s="1613"/>
      <c r="N625" s="1613"/>
      <c r="O625" s="1613"/>
      <c r="P625" s="1613"/>
      <c r="Q625" s="1613"/>
      <c r="R625" s="1613"/>
      <c r="S625" s="1613"/>
      <c r="T625" s="1613"/>
      <c r="U625" s="1613"/>
      <c r="V625" s="1613"/>
      <c r="W625" s="1609"/>
      <c r="X625" s="1609"/>
      <c r="Y625" s="1609"/>
      <c r="Z625" s="1352"/>
      <c r="AA625" s="1352"/>
      <c r="AB625" s="1353"/>
      <c r="AC625" s="1617"/>
      <c r="AD625" s="1618"/>
      <c r="AE625" s="1619"/>
      <c r="AF625" s="1351"/>
      <c r="AG625" s="1352"/>
      <c r="AH625" s="1352"/>
      <c r="AI625" s="1352"/>
      <c r="AJ625" s="1353"/>
      <c r="AK625" s="1534"/>
      <c r="AL625" s="1535"/>
      <c r="AM625" s="1535"/>
      <c r="AN625" s="1536"/>
      <c r="AO625" s="1613"/>
      <c r="AP625" s="1613"/>
      <c r="AQ625" s="1613"/>
      <c r="AR625" s="1613"/>
      <c r="AS625" s="1613"/>
      <c r="AU625" s="2"/>
      <c r="AZ625" s="2"/>
      <c r="BA625" s="2"/>
      <c r="BB625" s="2"/>
      <c r="BC625" s="2"/>
      <c r="BD625" s="2"/>
    </row>
    <row r="626" spans="2:157" ht="13" customHeight="1">
      <c r="B626" s="1608"/>
      <c r="C626" s="1608"/>
      <c r="D626" s="1608"/>
      <c r="E626" s="1608"/>
      <c r="F626" s="1608"/>
      <c r="G626" s="1608"/>
      <c r="H626" s="1608"/>
      <c r="I626" s="1608"/>
      <c r="J626" s="1608"/>
      <c r="K626" s="1608"/>
      <c r="L626" s="1608"/>
      <c r="M626" s="1613"/>
      <c r="N626" s="1613"/>
      <c r="O626" s="1613"/>
      <c r="P626" s="1613"/>
      <c r="Q626" s="1613"/>
      <c r="R626" s="1613"/>
      <c r="S626" s="1613"/>
      <c r="T626" s="1613"/>
      <c r="U626" s="1613"/>
      <c r="V626" s="1613"/>
      <c r="W626" s="1609"/>
      <c r="X626" s="1609"/>
      <c r="Y626" s="1609"/>
      <c r="Z626" s="1355"/>
      <c r="AA626" s="1355"/>
      <c r="AB626" s="1356"/>
      <c r="AC626" s="1620"/>
      <c r="AD626" s="1621"/>
      <c r="AE626" s="1622"/>
      <c r="AF626" s="1354"/>
      <c r="AG626" s="1355"/>
      <c r="AH626" s="1355"/>
      <c r="AI626" s="1355"/>
      <c r="AJ626" s="1356"/>
      <c r="AK626" s="1537"/>
      <c r="AL626" s="1538"/>
      <c r="AM626" s="1538"/>
      <c r="AN626" s="1539"/>
      <c r="AO626" s="1613"/>
      <c r="AP626" s="1613"/>
      <c r="AQ626" s="1613"/>
      <c r="AR626" s="1613"/>
      <c r="AS626" s="1613"/>
      <c r="AT626" s="2"/>
      <c r="AU626" s="2"/>
      <c r="AZ626" s="2"/>
      <c r="BA626" s="2"/>
      <c r="BB626" s="2"/>
      <c r="BC626" s="2"/>
      <c r="BD626" s="2"/>
    </row>
    <row r="627" spans="2:157" ht="13" customHeight="1">
      <c r="B627" s="34" t="s">
        <v>18</v>
      </c>
      <c r="C627" s="1431" t="s">
        <v>1432</v>
      </c>
      <c r="D627" s="1431"/>
      <c r="E627" s="1431"/>
      <c r="F627" s="1431"/>
      <c r="G627" s="1431"/>
      <c r="H627" s="1431"/>
      <c r="I627" s="1431"/>
      <c r="J627" s="1431"/>
      <c r="K627" s="1431"/>
      <c r="L627" s="1431"/>
      <c r="M627" s="1444" t="s">
        <v>1003</v>
      </c>
      <c r="N627" s="1444"/>
      <c r="O627" s="1444"/>
      <c r="P627" s="1444"/>
      <c r="Q627" s="1459">
        <f>17*12</f>
        <v>204</v>
      </c>
      <c r="R627" s="1459"/>
      <c r="S627" s="1460"/>
      <c r="T627" s="1458">
        <v>480</v>
      </c>
      <c r="U627" s="1459"/>
      <c r="V627" s="1460"/>
      <c r="W627" s="1432">
        <v>6.25E-2</v>
      </c>
      <c r="X627" s="1433"/>
      <c r="Y627" s="1434"/>
      <c r="Z627" s="1428" t="s">
        <v>1003</v>
      </c>
      <c r="AA627" s="1429"/>
      <c r="AB627" s="1430"/>
      <c r="AC627" s="1336">
        <v>1</v>
      </c>
      <c r="AD627" s="1337"/>
      <c r="AE627" s="1338"/>
      <c r="AF627" s="1441">
        <v>730811</v>
      </c>
      <c r="AG627" s="1442"/>
      <c r="AH627" s="1442"/>
      <c r="AI627" s="1442"/>
      <c r="AJ627" s="1443"/>
      <c r="AK627" s="1436"/>
      <c r="AL627" s="1437"/>
      <c r="AM627" s="1437"/>
      <c r="AN627" s="1438"/>
      <c r="AO627" s="1578">
        <v>10726912</v>
      </c>
      <c r="AP627" s="1578"/>
      <c r="AQ627" s="1578"/>
      <c r="AR627" s="1578"/>
      <c r="AS627" s="1578"/>
      <c r="AT627" s="2"/>
      <c r="AU627" s="2"/>
      <c r="AZ627" s="2"/>
      <c r="BA627" s="2"/>
      <c r="BB627" s="2"/>
      <c r="BC627" s="2"/>
      <c r="BD627" s="2"/>
    </row>
    <row r="628" spans="2:157" ht="13" customHeight="1">
      <c r="B628" s="35" t="s">
        <v>31</v>
      </c>
      <c r="C628" s="1431" t="s">
        <v>1368</v>
      </c>
      <c r="D628" s="1431"/>
      <c r="E628" s="1431"/>
      <c r="F628" s="1431"/>
      <c r="G628" s="1431"/>
      <c r="H628" s="1431"/>
      <c r="I628" s="1431"/>
      <c r="J628" s="1431"/>
      <c r="K628" s="1431"/>
      <c r="L628" s="1431"/>
      <c r="M628" s="1444" t="s">
        <v>1003</v>
      </c>
      <c r="N628" s="1444"/>
      <c r="O628" s="1444"/>
      <c r="P628" s="1444"/>
      <c r="Q628" s="1458"/>
      <c r="R628" s="1459"/>
      <c r="S628" s="1460"/>
      <c r="T628" s="1458"/>
      <c r="U628" s="1459"/>
      <c r="V628" s="1460"/>
      <c r="W628" s="1432"/>
      <c r="X628" s="1433"/>
      <c r="Y628" s="1434"/>
      <c r="Z628" s="1428" t="s">
        <v>1003</v>
      </c>
      <c r="AA628" s="1429"/>
      <c r="AB628" s="1430"/>
      <c r="AC628" s="1336"/>
      <c r="AD628" s="1337"/>
      <c r="AE628" s="1338"/>
      <c r="AF628" s="1441"/>
      <c r="AG628" s="1442"/>
      <c r="AH628" s="1442"/>
      <c r="AI628" s="1442"/>
      <c r="AJ628" s="1443"/>
      <c r="AK628" s="1436"/>
      <c r="AL628" s="1437"/>
      <c r="AM628" s="1437"/>
      <c r="AN628" s="1438"/>
      <c r="AO628" s="1427">
        <v>11000000</v>
      </c>
      <c r="AP628" s="1299"/>
      <c r="AQ628" s="1299"/>
      <c r="AR628" s="1299"/>
      <c r="AS628" s="1300"/>
      <c r="AT628" s="931" t="str">
        <f>IF(AND(NOT(C627=""),C628="",NOT(C629="")),"!","")</f>
        <v/>
      </c>
      <c r="AU628" s="2"/>
      <c r="AZ628" s="2"/>
      <c r="BA628" s="2"/>
      <c r="BB628" s="2"/>
      <c r="BC628" s="2"/>
      <c r="BD628" s="2"/>
    </row>
    <row r="629" spans="2:157" ht="13" customHeight="1">
      <c r="B629" s="35" t="s">
        <v>39</v>
      </c>
      <c r="C629" s="1431" t="s">
        <v>1433</v>
      </c>
      <c r="D629" s="1431"/>
      <c r="E629" s="1431"/>
      <c r="F629" s="1431"/>
      <c r="G629" s="1431"/>
      <c r="H629" s="1431"/>
      <c r="I629" s="1431"/>
      <c r="J629" s="1431"/>
      <c r="K629" s="1431"/>
      <c r="L629" s="1431"/>
      <c r="M629" s="1444" t="s">
        <v>1003</v>
      </c>
      <c r="N629" s="1444"/>
      <c r="O629" s="1444"/>
      <c r="P629" s="1444"/>
      <c r="Q629" s="1458"/>
      <c r="R629" s="1459"/>
      <c r="S629" s="1460"/>
      <c r="T629" s="1458"/>
      <c r="U629" s="1459"/>
      <c r="V629" s="1460"/>
      <c r="W629" s="1432"/>
      <c r="X629" s="1433"/>
      <c r="Y629" s="1434"/>
      <c r="Z629" s="1428" t="s">
        <v>1003</v>
      </c>
      <c r="AA629" s="1429"/>
      <c r="AB629" s="1430"/>
      <c r="AC629" s="1336"/>
      <c r="AD629" s="1337"/>
      <c r="AE629" s="1338"/>
      <c r="AF629" s="1441"/>
      <c r="AG629" s="1442"/>
      <c r="AH629" s="1442"/>
      <c r="AI629" s="1442"/>
      <c r="AJ629" s="1443"/>
      <c r="AK629" s="1436"/>
      <c r="AL629" s="1437"/>
      <c r="AM629" s="1437"/>
      <c r="AN629" s="1438"/>
      <c r="AO629" s="1427">
        <v>2925643</v>
      </c>
      <c r="AP629" s="1299"/>
      <c r="AQ629" s="1299"/>
      <c r="AR629" s="1299"/>
      <c r="AS629" s="1300"/>
      <c r="AT629" s="931" t="str">
        <f t="shared" ref="AT629:AT638" si="1">IF(AND(NOT(C628=""),C629="",NOT(C630="")),"!","")</f>
        <v/>
      </c>
      <c r="AU629" s="2"/>
      <c r="AZ629" s="2"/>
      <c r="BA629" s="2"/>
      <c r="BB629" s="2"/>
      <c r="BC629" s="2"/>
      <c r="BD629" s="2"/>
    </row>
    <row r="630" spans="2:157" ht="13" customHeight="1">
      <c r="B630" s="35" t="s">
        <v>82</v>
      </c>
      <c r="C630" s="1431"/>
      <c r="D630" s="1431"/>
      <c r="E630" s="1431"/>
      <c r="F630" s="1431"/>
      <c r="G630" s="1431"/>
      <c r="H630" s="1431"/>
      <c r="I630" s="1431"/>
      <c r="J630" s="1431"/>
      <c r="K630" s="1431"/>
      <c r="L630" s="1431"/>
      <c r="M630" s="1444" t="s">
        <v>1003</v>
      </c>
      <c r="N630" s="1444"/>
      <c r="O630" s="1444"/>
      <c r="P630" s="1444"/>
      <c r="Q630" s="1458"/>
      <c r="R630" s="1459"/>
      <c r="S630" s="1460"/>
      <c r="T630" s="1458"/>
      <c r="U630" s="1459"/>
      <c r="V630" s="1460"/>
      <c r="W630" s="1432"/>
      <c r="X630" s="1433"/>
      <c r="Y630" s="1434"/>
      <c r="Z630" s="1428" t="s">
        <v>1003</v>
      </c>
      <c r="AA630" s="1429"/>
      <c r="AB630" s="1430"/>
      <c r="AC630" s="1336"/>
      <c r="AD630" s="1337"/>
      <c r="AE630" s="1338"/>
      <c r="AF630" s="1441"/>
      <c r="AG630" s="1442"/>
      <c r="AH630" s="1442"/>
      <c r="AI630" s="1442"/>
      <c r="AJ630" s="1443"/>
      <c r="AK630" s="1436"/>
      <c r="AL630" s="1437"/>
      <c r="AM630" s="1437"/>
      <c r="AN630" s="1438"/>
      <c r="AO630" s="1427"/>
      <c r="AP630" s="1299"/>
      <c r="AQ630" s="1299"/>
      <c r="AR630" s="1299"/>
      <c r="AS630" s="1300"/>
      <c r="AT630" s="931" t="str">
        <f t="shared" si="1"/>
        <v/>
      </c>
      <c r="AU630" s="2"/>
      <c r="AZ630" s="2"/>
      <c r="BA630" s="2"/>
      <c r="BB630" s="2"/>
      <c r="BC630" s="2"/>
      <c r="BD630" s="2"/>
    </row>
    <row r="631" spans="2:157" ht="13" customHeight="1">
      <c r="B631" s="35" t="s">
        <v>86</v>
      </c>
      <c r="C631" s="1431"/>
      <c r="D631" s="1431"/>
      <c r="E631" s="1431"/>
      <c r="F631" s="1431"/>
      <c r="G631" s="1431"/>
      <c r="H631" s="1431"/>
      <c r="I631" s="1431"/>
      <c r="J631" s="1431"/>
      <c r="K631" s="1431"/>
      <c r="L631" s="1431"/>
      <c r="M631" s="1444" t="s">
        <v>1003</v>
      </c>
      <c r="N631" s="1444"/>
      <c r="O631" s="1444"/>
      <c r="P631" s="1444"/>
      <c r="Q631" s="1458"/>
      <c r="R631" s="1459"/>
      <c r="S631" s="1460"/>
      <c r="T631" s="1458"/>
      <c r="U631" s="1459"/>
      <c r="V631" s="1460"/>
      <c r="W631" s="1432"/>
      <c r="X631" s="1433"/>
      <c r="Y631" s="1434"/>
      <c r="Z631" s="1428" t="s">
        <v>1003</v>
      </c>
      <c r="AA631" s="1429"/>
      <c r="AB631" s="1430"/>
      <c r="AC631" s="1336"/>
      <c r="AD631" s="1337"/>
      <c r="AE631" s="1338"/>
      <c r="AF631" s="1441"/>
      <c r="AG631" s="1442"/>
      <c r="AH631" s="1442"/>
      <c r="AI631" s="1442"/>
      <c r="AJ631" s="1443"/>
      <c r="AK631" s="1436"/>
      <c r="AL631" s="1437"/>
      <c r="AM631" s="1437"/>
      <c r="AN631" s="1438"/>
      <c r="AO631" s="1427"/>
      <c r="AP631" s="1299"/>
      <c r="AQ631" s="1299"/>
      <c r="AR631" s="1299"/>
      <c r="AS631" s="1300"/>
      <c r="AT631" s="931" t="str">
        <f t="shared" si="1"/>
        <v/>
      </c>
      <c r="AU631" s="2"/>
      <c r="AZ631" s="2"/>
      <c r="BA631" s="2"/>
      <c r="BB631" s="2"/>
      <c r="BC631" s="2"/>
      <c r="BD631" s="2"/>
    </row>
    <row r="632" spans="2:157" ht="13" customHeight="1">
      <c r="B632" s="35" t="s">
        <v>1404</v>
      </c>
      <c r="C632" s="1431"/>
      <c r="D632" s="1431"/>
      <c r="E632" s="1431"/>
      <c r="F632" s="1431"/>
      <c r="G632" s="1431"/>
      <c r="H632" s="1431"/>
      <c r="I632" s="1431"/>
      <c r="J632" s="1431"/>
      <c r="K632" s="1431"/>
      <c r="L632" s="1431"/>
      <c r="M632" s="1444" t="s">
        <v>1003</v>
      </c>
      <c r="N632" s="1444"/>
      <c r="O632" s="1444"/>
      <c r="P632" s="1444"/>
      <c r="Q632" s="1458"/>
      <c r="R632" s="1459"/>
      <c r="S632" s="1460"/>
      <c r="T632" s="1458"/>
      <c r="U632" s="1459"/>
      <c r="V632" s="1460"/>
      <c r="W632" s="1432"/>
      <c r="X632" s="1433"/>
      <c r="Y632" s="1434"/>
      <c r="Z632" s="1428" t="s">
        <v>1003</v>
      </c>
      <c r="AA632" s="1429"/>
      <c r="AB632" s="1430"/>
      <c r="AC632" s="1336"/>
      <c r="AD632" s="1337"/>
      <c r="AE632" s="1338"/>
      <c r="AF632" s="1441"/>
      <c r="AG632" s="1442"/>
      <c r="AH632" s="1442"/>
      <c r="AI632" s="1442"/>
      <c r="AJ632" s="1443"/>
      <c r="AK632" s="1436"/>
      <c r="AL632" s="1437"/>
      <c r="AM632" s="1437"/>
      <c r="AN632" s="1438"/>
      <c r="AO632" s="1427"/>
      <c r="AP632" s="1299"/>
      <c r="AQ632" s="1299"/>
      <c r="AR632" s="1299"/>
      <c r="AS632" s="1300"/>
      <c r="AT632" s="931" t="str">
        <f t="shared" si="1"/>
        <v/>
      </c>
      <c r="AU632" s="2"/>
      <c r="AZ632" s="2"/>
      <c r="BA632" s="2"/>
      <c r="BB632" s="2"/>
      <c r="BC632" s="2"/>
      <c r="BD632" s="2"/>
    </row>
    <row r="633" spans="2:157" ht="13" customHeight="1">
      <c r="B633" s="35" t="s">
        <v>1405</v>
      </c>
      <c r="C633" s="1431"/>
      <c r="D633" s="1431"/>
      <c r="E633" s="1431"/>
      <c r="F633" s="1431"/>
      <c r="G633" s="1431"/>
      <c r="H633" s="1431"/>
      <c r="I633" s="1431"/>
      <c r="J633" s="1431"/>
      <c r="K633" s="1431"/>
      <c r="L633" s="1431"/>
      <c r="M633" s="1444" t="s">
        <v>1003</v>
      </c>
      <c r="N633" s="1444"/>
      <c r="O633" s="1444"/>
      <c r="P633" s="1444"/>
      <c r="Q633" s="1458"/>
      <c r="R633" s="1459"/>
      <c r="S633" s="1460"/>
      <c r="T633" s="1458"/>
      <c r="U633" s="1459"/>
      <c r="V633" s="1460"/>
      <c r="W633" s="1432"/>
      <c r="X633" s="1433"/>
      <c r="Y633" s="1434"/>
      <c r="Z633" s="1428" t="s">
        <v>1003</v>
      </c>
      <c r="AA633" s="1429"/>
      <c r="AB633" s="1430"/>
      <c r="AC633" s="1336"/>
      <c r="AD633" s="1337"/>
      <c r="AE633" s="1338"/>
      <c r="AF633" s="1441"/>
      <c r="AG633" s="1442"/>
      <c r="AH633" s="1442"/>
      <c r="AI633" s="1442"/>
      <c r="AJ633" s="1443"/>
      <c r="AK633" s="1436"/>
      <c r="AL633" s="1437"/>
      <c r="AM633" s="1437"/>
      <c r="AN633" s="1438"/>
      <c r="AO633" s="1427"/>
      <c r="AP633" s="1299"/>
      <c r="AQ633" s="1299"/>
      <c r="AR633" s="1299"/>
      <c r="AS633" s="1300"/>
      <c r="AT633" s="931" t="str">
        <f t="shared" si="1"/>
        <v/>
      </c>
      <c r="AU633" s="2"/>
      <c r="AV633" s="2"/>
      <c r="AW633" s="2"/>
      <c r="AX633" s="2"/>
      <c r="AY633" s="2"/>
      <c r="AZ633" s="2"/>
      <c r="BA633" s="2"/>
      <c r="BB633" s="2"/>
      <c r="BC633" s="2"/>
      <c r="BD633" s="2"/>
    </row>
    <row r="634" spans="2:157" ht="13" customHeight="1">
      <c r="B634" s="35" t="s">
        <v>1406</v>
      </c>
      <c r="C634" s="1431"/>
      <c r="D634" s="1431"/>
      <c r="E634" s="1431"/>
      <c r="F634" s="1431"/>
      <c r="G634" s="1431"/>
      <c r="H634" s="1431"/>
      <c r="I634" s="1431"/>
      <c r="J634" s="1431"/>
      <c r="K634" s="1431"/>
      <c r="L634" s="1431"/>
      <c r="M634" s="1444" t="s">
        <v>1003</v>
      </c>
      <c r="N634" s="1444"/>
      <c r="O634" s="1444"/>
      <c r="P634" s="1444"/>
      <c r="Q634" s="1458"/>
      <c r="R634" s="1459"/>
      <c r="S634" s="1460"/>
      <c r="T634" s="1458"/>
      <c r="U634" s="1459"/>
      <c r="V634" s="1460"/>
      <c r="W634" s="1432"/>
      <c r="X634" s="1433"/>
      <c r="Y634" s="1434"/>
      <c r="Z634" s="1428" t="s">
        <v>1003</v>
      </c>
      <c r="AA634" s="1429"/>
      <c r="AB634" s="1430"/>
      <c r="AC634" s="1336"/>
      <c r="AD634" s="1337"/>
      <c r="AE634" s="1338"/>
      <c r="AF634" s="1441"/>
      <c r="AG634" s="1442"/>
      <c r="AH634" s="1442"/>
      <c r="AI634" s="1442"/>
      <c r="AJ634" s="1443"/>
      <c r="AK634" s="1436"/>
      <c r="AL634" s="1437"/>
      <c r="AM634" s="1437"/>
      <c r="AN634" s="1438"/>
      <c r="AO634" s="1427"/>
      <c r="AP634" s="1299"/>
      <c r="AQ634" s="1299"/>
      <c r="AR634" s="1299"/>
      <c r="AS634" s="1300"/>
      <c r="AT634" s="931" t="str">
        <f t="shared" si="1"/>
        <v/>
      </c>
      <c r="AU634" s="2"/>
      <c r="AV634" s="2"/>
      <c r="AW634" s="2"/>
      <c r="AX634" s="2"/>
      <c r="AY634" s="2"/>
      <c r="AZ634" s="2"/>
      <c r="BA634" s="2" t="s">
        <v>1003</v>
      </c>
      <c r="BB634" s="2"/>
      <c r="BC634" s="2"/>
      <c r="BD634" s="2"/>
    </row>
    <row r="635" spans="2:157" ht="13" customHeight="1">
      <c r="B635" s="35" t="s">
        <v>1407</v>
      </c>
      <c r="C635" s="1431"/>
      <c r="D635" s="1431"/>
      <c r="E635" s="1431"/>
      <c r="F635" s="1431"/>
      <c r="G635" s="1431"/>
      <c r="H635" s="1431"/>
      <c r="I635" s="1431"/>
      <c r="J635" s="1431"/>
      <c r="K635" s="1431"/>
      <c r="L635" s="1431"/>
      <c r="M635" s="1444" t="s">
        <v>1003</v>
      </c>
      <c r="N635" s="1444"/>
      <c r="O635" s="1444"/>
      <c r="P635" s="1444"/>
      <c r="Q635" s="1458"/>
      <c r="R635" s="1459"/>
      <c r="S635" s="1460"/>
      <c r="T635" s="1458"/>
      <c r="U635" s="1459"/>
      <c r="V635" s="1460"/>
      <c r="W635" s="1432"/>
      <c r="X635" s="1433"/>
      <c r="Y635" s="1434"/>
      <c r="Z635" s="1428" t="s">
        <v>1003</v>
      </c>
      <c r="AA635" s="1429"/>
      <c r="AB635" s="1430"/>
      <c r="AC635" s="1336"/>
      <c r="AD635" s="1337"/>
      <c r="AE635" s="1338"/>
      <c r="AF635" s="1441"/>
      <c r="AG635" s="1442"/>
      <c r="AH635" s="1442"/>
      <c r="AI635" s="1442"/>
      <c r="AJ635" s="1443"/>
      <c r="AK635" s="1436"/>
      <c r="AL635" s="1437"/>
      <c r="AM635" s="1437"/>
      <c r="AN635" s="1438"/>
      <c r="AO635" s="1427"/>
      <c r="AP635" s="1299"/>
      <c r="AQ635" s="1299"/>
      <c r="AR635" s="1299"/>
      <c r="AS635" s="1300"/>
      <c r="AT635" s="931" t="str">
        <f t="shared" si="1"/>
        <v/>
      </c>
      <c r="AU635" s="2"/>
      <c r="AV635" s="2"/>
      <c r="AW635" s="2"/>
      <c r="AX635" s="2"/>
      <c r="AY635" s="2"/>
      <c r="AZ635" s="2"/>
      <c r="BA635" s="2" t="s">
        <v>1434</v>
      </c>
      <c r="BB635" s="2"/>
      <c r="BC635" s="2"/>
      <c r="BD635" s="2"/>
      <c r="BE635" s="2"/>
      <c r="BF635" s="2"/>
      <c r="BG635" s="2"/>
      <c r="BH635" s="2"/>
      <c r="BI635" s="2"/>
      <c r="BJ635" s="2"/>
      <c r="BK635" s="2"/>
      <c r="BL635" s="2"/>
      <c r="BM635" s="2"/>
      <c r="CR635" s="1151"/>
      <c r="CS635" s="2"/>
      <c r="CT635" s="2"/>
      <c r="CU635" s="2"/>
      <c r="CV635" s="2"/>
      <c r="CW635" s="2"/>
      <c r="CX635" s="2"/>
      <c r="CY635" s="2"/>
      <c r="CZ635" s="2"/>
      <c r="DA635" s="2"/>
      <c r="DB635" s="2"/>
      <c r="DC635" s="2"/>
      <c r="DD635" s="2"/>
      <c r="DE635" s="2"/>
      <c r="DF635" s="2"/>
      <c r="DX635" s="1324" t="e">
        <f t="shared" ref="DX635:DX669" si="2">EZ718*(CP718/$CP$753)</f>
        <v>#VALUE!</v>
      </c>
      <c r="DY635" s="1324"/>
      <c r="DZ635" s="1324"/>
      <c r="EA635" s="1324"/>
      <c r="EB635" s="1324"/>
      <c r="EC635" s="1324">
        <f t="shared" ref="EC635:EC669" si="3">FE718*(CU718/$CU$753)</f>
        <v>1239</v>
      </c>
      <c r="ED635" s="1324"/>
      <c r="EE635" s="1324"/>
      <c r="EF635" s="1324"/>
      <c r="EG635" s="1324"/>
      <c r="EH635" s="1324" t="e">
        <f t="shared" ref="EH635:EH669" si="4">FJ718*(CZ718/$CZ$753)</f>
        <v>#VALUE!</v>
      </c>
      <c r="EI635" s="1324"/>
      <c r="EJ635" s="1324"/>
      <c r="EK635" s="1324"/>
      <c r="EL635" s="1324"/>
      <c r="EM635" s="1324" t="e">
        <f t="shared" ref="EM635:EM669" si="5">FO718*(DE718/$DE$753)</f>
        <v>#VALUE!</v>
      </c>
      <c r="EN635" s="1324"/>
      <c r="EO635" s="1324"/>
      <c r="EP635" s="1324"/>
      <c r="EQ635" s="1324"/>
      <c r="ER635" s="1324" t="e">
        <f t="shared" ref="ER635:ER669" si="6">FT718*(DJ718/$DJ$753)</f>
        <v>#VALUE!</v>
      </c>
      <c r="ES635" s="1324"/>
      <c r="ET635" s="1324"/>
      <c r="EU635" s="1324"/>
      <c r="EV635" s="1324"/>
      <c r="EW635" s="1324" t="e">
        <f t="shared" ref="EW635:EW669" si="7">FY718*(DO718/$DO$753)</f>
        <v>#VALUE!</v>
      </c>
      <c r="EX635" s="1324"/>
      <c r="EY635" s="1324"/>
      <c r="EZ635" s="1324"/>
      <c r="FA635" s="1324"/>
    </row>
    <row r="636" spans="2:157" ht="13" customHeight="1">
      <c r="B636" s="35" t="s">
        <v>1408</v>
      </c>
      <c r="C636" s="1431"/>
      <c r="D636" s="1431"/>
      <c r="E636" s="1431"/>
      <c r="F636" s="1431"/>
      <c r="G636" s="1431"/>
      <c r="H636" s="1431"/>
      <c r="I636" s="1431"/>
      <c r="J636" s="1431"/>
      <c r="K636" s="1431"/>
      <c r="L636" s="1431"/>
      <c r="M636" s="1444" t="s">
        <v>1003</v>
      </c>
      <c r="N636" s="1444"/>
      <c r="O636" s="1444"/>
      <c r="P636" s="1444"/>
      <c r="Q636" s="1458"/>
      <c r="R636" s="1459"/>
      <c r="S636" s="1460"/>
      <c r="T636" s="1458"/>
      <c r="U636" s="1459"/>
      <c r="V636" s="1460"/>
      <c r="W636" s="1432"/>
      <c r="X636" s="1433"/>
      <c r="Y636" s="1434"/>
      <c r="Z636" s="1428" t="s">
        <v>1003</v>
      </c>
      <c r="AA636" s="1429"/>
      <c r="AB636" s="1430"/>
      <c r="AC636" s="1336"/>
      <c r="AD636" s="1337"/>
      <c r="AE636" s="1338"/>
      <c r="AF636" s="1441"/>
      <c r="AG636" s="1442"/>
      <c r="AH636" s="1442"/>
      <c r="AI636" s="1442"/>
      <c r="AJ636" s="1443"/>
      <c r="AK636" s="1436"/>
      <c r="AL636" s="1437"/>
      <c r="AM636" s="1437"/>
      <c r="AN636" s="1438"/>
      <c r="AO636" s="1427"/>
      <c r="AP636" s="1299"/>
      <c r="AQ636" s="1299"/>
      <c r="AR636" s="1299"/>
      <c r="AS636" s="1300"/>
      <c r="AT636" s="931" t="str">
        <f t="shared" si="1"/>
        <v/>
      </c>
      <c r="AV636" s="2"/>
      <c r="AW636" s="2"/>
      <c r="AX636" s="2"/>
      <c r="AY636" s="2"/>
      <c r="AZ636" s="2"/>
      <c r="BA636" s="2" t="s">
        <v>1435</v>
      </c>
      <c r="BB636" s="2"/>
      <c r="BC636" s="2"/>
      <c r="BD636" s="2"/>
      <c r="BE636" s="2"/>
      <c r="BF636" s="2"/>
      <c r="BG636" s="2"/>
      <c r="BH636" s="2"/>
      <c r="BI636" s="2"/>
      <c r="BJ636" s="2"/>
      <c r="BK636" s="2"/>
      <c r="BL636" s="2"/>
      <c r="BM636" s="2"/>
      <c r="DA636" s="2"/>
      <c r="DB636" s="2"/>
      <c r="DC636" s="2"/>
      <c r="DD636" s="2"/>
      <c r="DE636" s="2"/>
      <c r="DF636" s="2"/>
      <c r="DX636" s="1324" t="e">
        <f t="shared" si="2"/>
        <v>#VALUE!</v>
      </c>
      <c r="DY636" s="1324"/>
      <c r="DZ636" s="1324"/>
      <c r="EA636" s="1324"/>
      <c r="EB636" s="1324"/>
      <c r="EC636" s="1324" t="e">
        <f t="shared" si="3"/>
        <v>#VALUE!</v>
      </c>
      <c r="ED636" s="1324"/>
      <c r="EE636" s="1324"/>
      <c r="EF636" s="1324"/>
      <c r="EG636" s="1324"/>
      <c r="EH636" s="1324">
        <f t="shared" si="4"/>
        <v>853.41666666666674</v>
      </c>
      <c r="EI636" s="1324"/>
      <c r="EJ636" s="1324"/>
      <c r="EK636" s="1324"/>
      <c r="EL636" s="1324"/>
      <c r="EM636" s="1324" t="e">
        <f t="shared" si="5"/>
        <v>#VALUE!</v>
      </c>
      <c r="EN636" s="1324"/>
      <c r="EO636" s="1324"/>
      <c r="EP636" s="1324"/>
      <c r="EQ636" s="1324"/>
      <c r="ER636" s="1324" t="e">
        <f t="shared" si="6"/>
        <v>#VALUE!</v>
      </c>
      <c r="ES636" s="1324"/>
      <c r="ET636" s="1324"/>
      <c r="EU636" s="1324"/>
      <c r="EV636" s="1324"/>
      <c r="EW636" s="1324" t="e">
        <f t="shared" si="7"/>
        <v>#VALUE!</v>
      </c>
      <c r="EX636" s="1324"/>
      <c r="EY636" s="1324"/>
      <c r="EZ636" s="1324"/>
      <c r="FA636" s="1324"/>
    </row>
    <row r="637" spans="2:157" ht="13" customHeight="1">
      <c r="B637" s="35" t="s">
        <v>1409</v>
      </c>
      <c r="C637" s="1431"/>
      <c r="D637" s="1431"/>
      <c r="E637" s="1431"/>
      <c r="F637" s="1431"/>
      <c r="G637" s="1431"/>
      <c r="H637" s="1431"/>
      <c r="I637" s="1431"/>
      <c r="J637" s="1431"/>
      <c r="K637" s="1431"/>
      <c r="L637" s="1431"/>
      <c r="M637" s="1444" t="s">
        <v>1003</v>
      </c>
      <c r="N637" s="1444"/>
      <c r="O637" s="1444"/>
      <c r="P637" s="1444"/>
      <c r="Q637" s="1458"/>
      <c r="R637" s="1459"/>
      <c r="S637" s="1460"/>
      <c r="T637" s="1458"/>
      <c r="U637" s="1459"/>
      <c r="V637" s="1460"/>
      <c r="W637" s="1432"/>
      <c r="X637" s="1433"/>
      <c r="Y637" s="1434"/>
      <c r="Z637" s="1428" t="s">
        <v>1003</v>
      </c>
      <c r="AA637" s="1429"/>
      <c r="AB637" s="1430"/>
      <c r="AC637" s="1336"/>
      <c r="AD637" s="1337"/>
      <c r="AE637" s="1338"/>
      <c r="AF637" s="1441"/>
      <c r="AG637" s="1442"/>
      <c r="AH637" s="1442"/>
      <c r="AI637" s="1442"/>
      <c r="AJ637" s="1443"/>
      <c r="AK637" s="1436"/>
      <c r="AL637" s="1437"/>
      <c r="AM637" s="1437"/>
      <c r="AN637" s="1438"/>
      <c r="AO637" s="1427"/>
      <c r="AP637" s="1299"/>
      <c r="AQ637" s="1299"/>
      <c r="AR637" s="1299"/>
      <c r="AS637" s="1300"/>
      <c r="AT637" s="931" t="str">
        <f t="shared" si="1"/>
        <v/>
      </c>
      <c r="AV637" s="2"/>
      <c r="AW637" s="2"/>
      <c r="AX637" s="2"/>
      <c r="AY637" s="2"/>
      <c r="AZ637" s="2"/>
      <c r="BA637" s="2" t="s">
        <v>1436</v>
      </c>
      <c r="BB637" s="2"/>
      <c r="BC637" s="2"/>
      <c r="BD637" s="2"/>
      <c r="BE637" s="2"/>
      <c r="BF637" s="2"/>
      <c r="BG637" s="2"/>
      <c r="BH637" s="2"/>
      <c r="BI637" s="2"/>
      <c r="BJ637" s="2"/>
      <c r="BK637" s="2"/>
      <c r="BL637" s="2"/>
      <c r="BM637" s="2"/>
      <c r="DA637" s="2"/>
      <c r="DB637" s="2"/>
      <c r="DC637" s="2"/>
      <c r="DD637" s="2"/>
      <c r="DE637" s="2"/>
      <c r="DF637" s="2"/>
      <c r="DX637" s="1324" t="e">
        <f t="shared" si="2"/>
        <v>#VALUE!</v>
      </c>
      <c r="DY637" s="1324"/>
      <c r="DZ637" s="1324"/>
      <c r="EA637" s="1324"/>
      <c r="EB637" s="1324"/>
      <c r="EC637" s="1324" t="e">
        <f t="shared" si="3"/>
        <v>#VALUE!</v>
      </c>
      <c r="ED637" s="1324"/>
      <c r="EE637" s="1324"/>
      <c r="EF637" s="1324"/>
      <c r="EG637" s="1324"/>
      <c r="EH637" s="1324">
        <f t="shared" si="4"/>
        <v>265.08333333333337</v>
      </c>
      <c r="EI637" s="1324"/>
      <c r="EJ637" s="1324"/>
      <c r="EK637" s="1324"/>
      <c r="EL637" s="1324"/>
      <c r="EM637" s="1324" t="e">
        <f t="shared" si="5"/>
        <v>#VALUE!</v>
      </c>
      <c r="EN637" s="1324"/>
      <c r="EO637" s="1324"/>
      <c r="EP637" s="1324"/>
      <c r="EQ637" s="1324"/>
      <c r="ER637" s="1324" t="e">
        <f t="shared" si="6"/>
        <v>#VALUE!</v>
      </c>
      <c r="ES637" s="1324"/>
      <c r="ET637" s="1324"/>
      <c r="EU637" s="1324"/>
      <c r="EV637" s="1324"/>
      <c r="EW637" s="1324" t="e">
        <f t="shared" si="7"/>
        <v>#VALUE!</v>
      </c>
      <c r="EX637" s="1324"/>
      <c r="EY637" s="1324"/>
      <c r="EZ637" s="1324"/>
      <c r="FA637" s="1324"/>
    </row>
    <row r="638" spans="2:157" ht="13" customHeight="1">
      <c r="B638" s="35" t="s">
        <v>1410</v>
      </c>
      <c r="C638" s="1431"/>
      <c r="D638" s="1431"/>
      <c r="E638" s="1431"/>
      <c r="F638" s="1431"/>
      <c r="G638" s="1431"/>
      <c r="H638" s="1431"/>
      <c r="I638" s="1431"/>
      <c r="J638" s="1431"/>
      <c r="K638" s="1431"/>
      <c r="L638" s="1431"/>
      <c r="M638" s="1444" t="s">
        <v>1003</v>
      </c>
      <c r="N638" s="1444"/>
      <c r="O638" s="1444"/>
      <c r="P638" s="1444"/>
      <c r="Q638" s="1458"/>
      <c r="R638" s="1459"/>
      <c r="S638" s="1460"/>
      <c r="T638" s="1458"/>
      <c r="U638" s="1459"/>
      <c r="V638" s="1460"/>
      <c r="W638" s="1432"/>
      <c r="X638" s="1433"/>
      <c r="Y638" s="1434"/>
      <c r="Z638" s="1428" t="s">
        <v>1003</v>
      </c>
      <c r="AA638" s="1429"/>
      <c r="AB638" s="1430"/>
      <c r="AC638" s="1336"/>
      <c r="AD638" s="1337"/>
      <c r="AE638" s="1338"/>
      <c r="AF638" s="1441"/>
      <c r="AG638" s="1442"/>
      <c r="AH638" s="1442"/>
      <c r="AI638" s="1442"/>
      <c r="AJ638" s="1443"/>
      <c r="AK638" s="1436"/>
      <c r="AL638" s="1437"/>
      <c r="AM638" s="1437"/>
      <c r="AN638" s="1438"/>
      <c r="AO638" s="1427"/>
      <c r="AP638" s="1299"/>
      <c r="AQ638" s="1299"/>
      <c r="AR638" s="1299"/>
      <c r="AS638" s="1300"/>
      <c r="AT638" s="931" t="str">
        <f t="shared" si="1"/>
        <v/>
      </c>
      <c r="AV638" s="2"/>
      <c r="AW638" s="2"/>
      <c r="AX638" s="2"/>
      <c r="AY638" s="2"/>
      <c r="AZ638" s="2"/>
      <c r="BA638" s="2" t="s">
        <v>1055</v>
      </c>
      <c r="BB638" s="2"/>
      <c r="BC638" s="2"/>
      <c r="BD638" s="2"/>
      <c r="BE638" s="2"/>
      <c r="BF638" s="2"/>
      <c r="BG638" s="2"/>
      <c r="BH638" s="2"/>
      <c r="BI638" s="2"/>
      <c r="BJ638" s="2"/>
      <c r="BK638" s="2"/>
      <c r="BL638" s="2"/>
      <c r="BM638" s="2"/>
      <c r="DA638" s="2"/>
      <c r="DB638" s="2"/>
      <c r="DC638" s="2"/>
      <c r="DD638" s="2"/>
      <c r="DE638" s="2"/>
      <c r="DF638" s="2"/>
      <c r="DX638" s="1324" t="e">
        <f t="shared" si="2"/>
        <v>#VALUE!</v>
      </c>
      <c r="DY638" s="1324"/>
      <c r="DZ638" s="1324"/>
      <c r="EA638" s="1324"/>
      <c r="EB638" s="1324"/>
      <c r="EC638" s="1324" t="e">
        <f t="shared" si="3"/>
        <v>#VALUE!</v>
      </c>
      <c r="ED638" s="1324"/>
      <c r="EE638" s="1324"/>
      <c r="EF638" s="1324"/>
      <c r="EG638" s="1324"/>
      <c r="EH638" s="1324" t="e">
        <f t="shared" si="4"/>
        <v>#VALUE!</v>
      </c>
      <c r="EI638" s="1324"/>
      <c r="EJ638" s="1324"/>
      <c r="EK638" s="1324"/>
      <c r="EL638" s="1324"/>
      <c r="EM638" s="1324">
        <f t="shared" si="5"/>
        <v>529.5181818181818</v>
      </c>
      <c r="EN638" s="1324"/>
      <c r="EO638" s="1324"/>
      <c r="EP638" s="1324"/>
      <c r="EQ638" s="1324"/>
      <c r="ER638" s="1324" t="e">
        <f t="shared" si="6"/>
        <v>#VALUE!</v>
      </c>
      <c r="ES638" s="1324"/>
      <c r="ET638" s="1324"/>
      <c r="EU638" s="1324"/>
      <c r="EV638" s="1324"/>
      <c r="EW638" s="1324" t="e">
        <f t="shared" si="7"/>
        <v>#VALUE!</v>
      </c>
      <c r="EX638" s="1324"/>
      <c r="EY638" s="1324"/>
      <c r="EZ638" s="1324"/>
      <c r="FA638" s="1324"/>
    </row>
    <row r="639" spans="2:157" ht="13" customHeight="1">
      <c r="B639" s="1360" t="s">
        <v>1437</v>
      </c>
      <c r="C639" s="1361"/>
      <c r="D639" s="1361"/>
      <c r="E639" s="1361"/>
      <c r="F639" s="1361"/>
      <c r="G639" s="1361"/>
      <c r="H639" s="1361"/>
      <c r="I639" s="1361"/>
      <c r="J639" s="1361"/>
      <c r="K639" s="1361"/>
      <c r="L639" s="1361"/>
      <c r="M639" s="1361"/>
      <c r="N639" s="1361"/>
      <c r="O639" s="1361"/>
      <c r="P639" s="1361"/>
      <c r="Q639" s="1361"/>
      <c r="R639" s="1361"/>
      <c r="S639" s="1361"/>
      <c r="T639" s="1361"/>
      <c r="U639" s="1361"/>
      <c r="V639" s="1361"/>
      <c r="W639" s="1361"/>
      <c r="X639" s="1361"/>
      <c r="Y639" s="1361"/>
      <c r="Z639" s="1361"/>
      <c r="AA639" s="1361"/>
      <c r="AB639" s="1361"/>
      <c r="AC639" s="1361"/>
      <c r="AD639" s="1361"/>
      <c r="AE639" s="1361"/>
      <c r="AF639" s="1361"/>
      <c r="AG639" s="1361"/>
      <c r="AH639" s="1361"/>
      <c r="AI639" s="1361"/>
      <c r="AJ639" s="1361"/>
      <c r="AK639" s="1361"/>
      <c r="AL639" s="1361"/>
      <c r="AM639" s="1361"/>
      <c r="AN639" s="1363"/>
      <c r="AO639" s="1424">
        <f>SUM(AO627:AR638)</f>
        <v>24652555</v>
      </c>
      <c r="AP639" s="1425"/>
      <c r="AQ639" s="1425"/>
      <c r="AR639" s="1425"/>
      <c r="AS639" s="1426"/>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4" t="e">
        <f t="shared" si="2"/>
        <v>#VALUE!</v>
      </c>
      <c r="DY639" s="1324"/>
      <c r="DZ639" s="1324"/>
      <c r="EA639" s="1324"/>
      <c r="EB639" s="1324"/>
      <c r="EC639" s="1324" t="e">
        <f t="shared" si="3"/>
        <v>#VALUE!</v>
      </c>
      <c r="ED639" s="1324"/>
      <c r="EE639" s="1324"/>
      <c r="EF639" s="1324"/>
      <c r="EG639" s="1324"/>
      <c r="EH639" s="1324" t="e">
        <f t="shared" si="4"/>
        <v>#VALUE!</v>
      </c>
      <c r="EI639" s="1324"/>
      <c r="EJ639" s="1324"/>
      <c r="EK639" s="1324"/>
      <c r="EL639" s="1324"/>
      <c r="EM639" s="1324">
        <f t="shared" si="5"/>
        <v>483.40909090909088</v>
      </c>
      <c r="EN639" s="1324"/>
      <c r="EO639" s="1324"/>
      <c r="EP639" s="1324"/>
      <c r="EQ639" s="1324"/>
      <c r="ER639" s="1324" t="e">
        <f t="shared" si="6"/>
        <v>#VALUE!</v>
      </c>
      <c r="ES639" s="1324"/>
      <c r="ET639" s="1324"/>
      <c r="EU639" s="1324"/>
      <c r="EV639" s="1324"/>
      <c r="EW639" s="1324" t="e">
        <f t="shared" si="7"/>
        <v>#VALUE!</v>
      </c>
      <c r="EX639" s="1324"/>
      <c r="EY639" s="1324"/>
      <c r="EZ639" s="1324"/>
      <c r="FA639" s="1324"/>
    </row>
    <row r="640" spans="2:157" ht="13" customHeight="1">
      <c r="B640" s="1360" t="s">
        <v>1438</v>
      </c>
      <c r="C640" s="1361"/>
      <c r="D640" s="1361"/>
      <c r="E640" s="1361"/>
      <c r="F640" s="1361"/>
      <c r="G640" s="1361"/>
      <c r="H640" s="1361"/>
      <c r="I640" s="1361"/>
      <c r="J640" s="1361"/>
      <c r="K640" s="1361"/>
      <c r="L640" s="1361"/>
      <c r="M640" s="1361"/>
      <c r="N640" s="1361"/>
      <c r="O640" s="1361"/>
      <c r="P640" s="1361"/>
      <c r="Q640" s="1361"/>
      <c r="R640" s="1361"/>
      <c r="S640" s="1361"/>
      <c r="T640" s="1361"/>
      <c r="U640" s="1361"/>
      <c r="V640" s="1361"/>
      <c r="W640" s="1361"/>
      <c r="X640" s="1361"/>
      <c r="Y640" s="1361"/>
      <c r="Z640" s="1361"/>
      <c r="AA640" s="1361"/>
      <c r="AB640" s="1361"/>
      <c r="AC640" s="1361"/>
      <c r="AD640" s="1361"/>
      <c r="AE640" s="1361"/>
      <c r="AF640" s="1361"/>
      <c r="AG640" s="1361"/>
      <c r="AH640" s="1361"/>
      <c r="AI640" s="1361"/>
      <c r="AJ640" s="1361"/>
      <c r="AK640" s="1361"/>
      <c r="AL640" s="1361"/>
      <c r="AM640" s="1361"/>
      <c r="AN640" s="1363"/>
      <c r="AO640" s="1427">
        <v>18443422</v>
      </c>
      <c r="AP640" s="1299"/>
      <c r="AQ640" s="1299"/>
      <c r="AR640" s="1299"/>
      <c r="AS640" s="1300"/>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4" t="e">
        <f t="shared" si="2"/>
        <v>#VALUE!</v>
      </c>
      <c r="DY640" s="1324"/>
      <c r="DZ640" s="1324"/>
      <c r="EA640" s="1324"/>
      <c r="EB640" s="1324"/>
      <c r="EC640" s="1324" t="e">
        <f t="shared" si="3"/>
        <v>#VALUE!</v>
      </c>
      <c r="ED640" s="1324"/>
      <c r="EE640" s="1324"/>
      <c r="EF640" s="1324"/>
      <c r="EG640" s="1324"/>
      <c r="EH640" s="1324" t="e">
        <f t="shared" si="4"/>
        <v>#VALUE!</v>
      </c>
      <c r="EI640" s="1324"/>
      <c r="EJ640" s="1324"/>
      <c r="EK640" s="1324"/>
      <c r="EL640" s="1324"/>
      <c r="EM640" s="1324" t="e">
        <f t="shared" si="5"/>
        <v>#VALUE!</v>
      </c>
      <c r="EN640" s="1324"/>
      <c r="EO640" s="1324"/>
      <c r="EP640" s="1324"/>
      <c r="EQ640" s="1324"/>
      <c r="ER640" s="1324" t="e">
        <f t="shared" si="6"/>
        <v>#VALUE!</v>
      </c>
      <c r="ES640" s="1324"/>
      <c r="ET640" s="1324"/>
      <c r="EU640" s="1324"/>
      <c r="EV640" s="1324"/>
      <c r="EW640" s="1324" t="e">
        <f t="shared" si="7"/>
        <v>#VALUE!</v>
      </c>
      <c r="EX640" s="1324"/>
      <c r="EY640" s="1324"/>
      <c r="EZ640" s="1324"/>
      <c r="FA640" s="1324"/>
    </row>
    <row r="641" spans="1:157" ht="13" customHeight="1">
      <c r="B641" s="1764" t="s">
        <v>1439</v>
      </c>
      <c r="C641" s="1362"/>
      <c r="D641" s="1362"/>
      <c r="E641" s="1362"/>
      <c r="F641" s="1362"/>
      <c r="G641" s="1362"/>
      <c r="H641" s="1362"/>
      <c r="I641" s="1362"/>
      <c r="J641" s="1362"/>
      <c r="K641" s="1362"/>
      <c r="L641" s="1362"/>
      <c r="M641" s="1362"/>
      <c r="N641" s="1362"/>
      <c r="O641" s="1362"/>
      <c r="P641" s="1362"/>
      <c r="Q641" s="1362"/>
      <c r="R641" s="1362"/>
      <c r="S641" s="1362"/>
      <c r="T641" s="1362"/>
      <c r="U641" s="1362"/>
      <c r="V641" s="1362"/>
      <c r="W641" s="1362"/>
      <c r="X641" s="1362"/>
      <c r="Y641" s="1362"/>
      <c r="Z641" s="1362"/>
      <c r="AA641" s="1362"/>
      <c r="AB641" s="1362"/>
      <c r="AC641" s="1362"/>
      <c r="AD641" s="1362"/>
      <c r="AE641" s="1362"/>
      <c r="AF641" s="1362"/>
      <c r="AG641" s="1362"/>
      <c r="AH641" s="1362"/>
      <c r="AI641" s="1362"/>
      <c r="AJ641" s="1362"/>
      <c r="AK641" s="1362"/>
      <c r="AL641" s="1362"/>
      <c r="AM641" s="1362"/>
      <c r="AN641" s="1765"/>
      <c r="AO641" s="1424">
        <f>AO639+AO640</f>
        <v>43095977</v>
      </c>
      <c r="AP641" s="1425"/>
      <c r="AQ641" s="1425"/>
      <c r="AR641" s="1425"/>
      <c r="AS641" s="1426"/>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4" t="e">
        <f t="shared" si="2"/>
        <v>#VALUE!</v>
      </c>
      <c r="DY641" s="1324"/>
      <c r="DZ641" s="1324"/>
      <c r="EA641" s="1324"/>
      <c r="EB641" s="1324"/>
      <c r="EC641" s="1324" t="e">
        <f t="shared" si="3"/>
        <v>#VALUE!</v>
      </c>
      <c r="ED641" s="1324"/>
      <c r="EE641" s="1324"/>
      <c r="EF641" s="1324"/>
      <c r="EG641" s="1324"/>
      <c r="EH641" s="1324" t="e">
        <f t="shared" si="4"/>
        <v>#VALUE!</v>
      </c>
      <c r="EI641" s="1324"/>
      <c r="EJ641" s="1324"/>
      <c r="EK641" s="1324"/>
      <c r="EL641" s="1324"/>
      <c r="EM641" s="1324" t="e">
        <f t="shared" si="5"/>
        <v>#VALUE!</v>
      </c>
      <c r="EN641" s="1324"/>
      <c r="EO641" s="1324"/>
      <c r="EP641" s="1324"/>
      <c r="EQ641" s="1324"/>
      <c r="ER641" s="1324" t="e">
        <f t="shared" si="6"/>
        <v>#VALUE!</v>
      </c>
      <c r="ES641" s="1324"/>
      <c r="ET641" s="1324"/>
      <c r="EU641" s="1324"/>
      <c r="EV641" s="1324"/>
      <c r="EW641" s="1324" t="e">
        <f t="shared" si="7"/>
        <v>#VALUE!</v>
      </c>
      <c r="EX641" s="1324"/>
      <c r="EY641" s="1324"/>
      <c r="EZ641" s="1324"/>
      <c r="FA641" s="1324"/>
    </row>
    <row r="642" spans="1:157" ht="13" customHeight="1">
      <c r="B642" s="363"/>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4" t="e">
        <f t="shared" si="2"/>
        <v>#VALUE!</v>
      </c>
      <c r="DY642" s="1324"/>
      <c r="DZ642" s="1324"/>
      <c r="EA642" s="1324"/>
      <c r="EB642" s="1324"/>
      <c r="EC642" s="1324" t="e">
        <f t="shared" si="3"/>
        <v>#VALUE!</v>
      </c>
      <c r="ED642" s="1324"/>
      <c r="EE642" s="1324"/>
      <c r="EF642" s="1324"/>
      <c r="EG642" s="1324"/>
      <c r="EH642" s="1324" t="e">
        <f t="shared" si="4"/>
        <v>#VALUE!</v>
      </c>
      <c r="EI642" s="1324"/>
      <c r="EJ642" s="1324"/>
      <c r="EK642" s="1324"/>
      <c r="EL642" s="1324"/>
      <c r="EM642" s="1324" t="e">
        <f t="shared" si="5"/>
        <v>#VALUE!</v>
      </c>
      <c r="EN642" s="1324"/>
      <c r="EO642" s="1324"/>
      <c r="EP642" s="1324"/>
      <c r="EQ642" s="1324"/>
      <c r="ER642" s="1324" t="e">
        <f t="shared" si="6"/>
        <v>#VALUE!</v>
      </c>
      <c r="ES642" s="1324"/>
      <c r="ET642" s="1324"/>
      <c r="EU642" s="1324"/>
      <c r="EV642" s="1324"/>
      <c r="EW642" s="1324" t="e">
        <f t="shared" si="7"/>
        <v>#VALUE!</v>
      </c>
      <c r="EX642" s="1324"/>
      <c r="EY642" s="1324"/>
      <c r="EZ642" s="1324"/>
      <c r="FA642" s="1324"/>
    </row>
    <row r="643" spans="1:157" ht="13" customHeight="1">
      <c r="A643" s="36" t="s">
        <v>18</v>
      </c>
      <c r="B643" t="s">
        <v>1412</v>
      </c>
      <c r="G643" s="1435" t="str">
        <f>C627</f>
        <v>Perm Loan</v>
      </c>
      <c r="H643" s="1435"/>
      <c r="I643" s="1435"/>
      <c r="J643" s="1435"/>
      <c r="K643" s="1435"/>
      <c r="L643" s="1435"/>
      <c r="M643" s="1435"/>
      <c r="N643" s="1435"/>
      <c r="O643" s="1435"/>
      <c r="P643" s="1435"/>
      <c r="Q643" s="1435"/>
      <c r="R643" s="1435"/>
      <c r="S643" s="6"/>
      <c r="T643" s="36" t="s">
        <v>31</v>
      </c>
      <c r="U643" t="s">
        <v>1412</v>
      </c>
      <c r="Z643" s="1435" t="str">
        <f>C628</f>
        <v>HOME</v>
      </c>
      <c r="AA643" s="1435"/>
      <c r="AB643" s="1435"/>
      <c r="AC643" s="1435"/>
      <c r="AD643" s="1435"/>
      <c r="AE643" s="1435"/>
      <c r="AF643" s="1435"/>
      <c r="AG643" s="1435"/>
      <c r="AH643" s="1435"/>
      <c r="AI643" s="1435"/>
      <c r="AJ643" s="1435"/>
      <c r="AK643" s="143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4" t="e">
        <f t="shared" si="2"/>
        <v>#VALUE!</v>
      </c>
      <c r="DY643" s="1324"/>
      <c r="DZ643" s="1324"/>
      <c r="EA643" s="1324"/>
      <c r="EB643" s="1324"/>
      <c r="EC643" s="1324" t="e">
        <f t="shared" si="3"/>
        <v>#VALUE!</v>
      </c>
      <c r="ED643" s="1324"/>
      <c r="EE643" s="1324"/>
      <c r="EF643" s="1324"/>
      <c r="EG643" s="1324"/>
      <c r="EH643" s="1324" t="e">
        <f t="shared" si="4"/>
        <v>#VALUE!</v>
      </c>
      <c r="EI643" s="1324"/>
      <c r="EJ643" s="1324"/>
      <c r="EK643" s="1324"/>
      <c r="EL643" s="1324"/>
      <c r="EM643" s="1324" t="e">
        <f t="shared" si="5"/>
        <v>#VALUE!</v>
      </c>
      <c r="EN643" s="1324"/>
      <c r="EO643" s="1324"/>
      <c r="EP643" s="1324"/>
      <c r="EQ643" s="1324"/>
      <c r="ER643" s="1324" t="e">
        <f t="shared" si="6"/>
        <v>#VALUE!</v>
      </c>
      <c r="ES643" s="1324"/>
      <c r="ET643" s="1324"/>
      <c r="EU643" s="1324"/>
      <c r="EV643" s="1324"/>
      <c r="EW643" s="1324" t="e">
        <f t="shared" si="7"/>
        <v>#VALUE!</v>
      </c>
      <c r="EX643" s="1324"/>
      <c r="EY643" s="1324"/>
      <c r="EZ643" s="1324"/>
      <c r="FA643" s="1324"/>
    </row>
    <row r="644" spans="1:157" ht="13" customHeight="1">
      <c r="A644" s="17"/>
      <c r="B644" t="s">
        <v>1065</v>
      </c>
      <c r="G644" s="1359" t="s">
        <v>1413</v>
      </c>
      <c r="H644" s="1359"/>
      <c r="I644" s="1359"/>
      <c r="J644" s="1359"/>
      <c r="K644" s="1359"/>
      <c r="L644" s="1359"/>
      <c r="M644" s="1359"/>
      <c r="N644" s="1359"/>
      <c r="O644" s="1359"/>
      <c r="P644" s="1359"/>
      <c r="Q644" s="1359"/>
      <c r="R644" s="1359"/>
      <c r="S644" s="6"/>
      <c r="T644" s="17"/>
      <c r="U644" t="s">
        <v>1065</v>
      </c>
      <c r="Z644" s="1359" t="s">
        <v>1440</v>
      </c>
      <c r="AA644" s="1359"/>
      <c r="AB644" s="1359"/>
      <c r="AC644" s="1359"/>
      <c r="AD644" s="1359"/>
      <c r="AE644" s="1359"/>
      <c r="AF644" s="1359"/>
      <c r="AG644" s="1359"/>
      <c r="AH644" s="1359"/>
      <c r="AI644" s="1359"/>
      <c r="AJ644" s="1359"/>
      <c r="AK644" s="1359"/>
      <c r="AV644" s="2"/>
      <c r="AW644" s="2"/>
      <c r="AX644" s="2"/>
      <c r="AY644" s="2"/>
      <c r="AZ644" s="2"/>
      <c r="BA644" s="2"/>
      <c r="BB644" s="2"/>
      <c r="BC644" s="2"/>
      <c r="BD644" s="2"/>
      <c r="BE644" s="2"/>
      <c r="BF644" s="2"/>
      <c r="BG644" s="2"/>
      <c r="BH644" s="2"/>
      <c r="BI644" s="2"/>
      <c r="BJ644" s="2"/>
      <c r="BK644" s="2"/>
      <c r="BL644" s="2"/>
      <c r="BM644" s="2"/>
      <c r="DX644" s="1324" t="e">
        <f t="shared" si="2"/>
        <v>#VALUE!</v>
      </c>
      <c r="DY644" s="1324"/>
      <c r="DZ644" s="1324"/>
      <c r="EA644" s="1324"/>
      <c r="EB644" s="1324"/>
      <c r="EC644" s="1324" t="e">
        <f t="shared" si="3"/>
        <v>#VALUE!</v>
      </c>
      <c r="ED644" s="1324"/>
      <c r="EE644" s="1324"/>
      <c r="EF644" s="1324"/>
      <c r="EG644" s="1324"/>
      <c r="EH644" s="1324" t="e">
        <f t="shared" si="4"/>
        <v>#VALUE!</v>
      </c>
      <c r="EI644" s="1324"/>
      <c r="EJ644" s="1324"/>
      <c r="EK644" s="1324"/>
      <c r="EL644" s="1324"/>
      <c r="EM644" s="1324" t="e">
        <f t="shared" si="5"/>
        <v>#VALUE!</v>
      </c>
      <c r="EN644" s="1324"/>
      <c r="EO644" s="1324"/>
      <c r="EP644" s="1324"/>
      <c r="EQ644" s="1324"/>
      <c r="ER644" s="1324" t="e">
        <f t="shared" si="6"/>
        <v>#VALUE!</v>
      </c>
      <c r="ES644" s="1324"/>
      <c r="ET644" s="1324"/>
      <c r="EU644" s="1324"/>
      <c r="EV644" s="1324"/>
      <c r="EW644" s="1324" t="e">
        <f t="shared" si="7"/>
        <v>#VALUE!</v>
      </c>
      <c r="EX644" s="1324"/>
      <c r="EY644" s="1324"/>
      <c r="EZ644" s="1324"/>
      <c r="FA644" s="1324"/>
    </row>
    <row r="645" spans="1:157" ht="13" customHeight="1">
      <c r="A645" s="17"/>
      <c r="B645" t="s">
        <v>932</v>
      </c>
      <c r="G645" s="1359" t="s">
        <v>887</v>
      </c>
      <c r="H645" s="1359"/>
      <c r="I645" s="1359"/>
      <c r="J645" s="1359"/>
      <c r="K645" s="1359"/>
      <c r="L645" s="1359"/>
      <c r="M645" s="1359"/>
      <c r="N645" s="1359"/>
      <c r="O645" s="1359"/>
      <c r="P645" s="1359"/>
      <c r="Q645" s="1359"/>
      <c r="R645" s="1359"/>
      <c r="T645" s="17"/>
      <c r="U645" t="s">
        <v>932</v>
      </c>
      <c r="Z645" s="1326" t="s">
        <v>1441</v>
      </c>
      <c r="AA645" s="1326"/>
      <c r="AB645" s="1326"/>
      <c r="AC645" s="1326"/>
      <c r="AD645" s="1326"/>
      <c r="AE645" s="1326"/>
      <c r="AF645" s="1326"/>
      <c r="AG645" s="1326"/>
      <c r="AH645" s="1326"/>
      <c r="AI645" s="1326"/>
      <c r="AJ645" s="1326"/>
      <c r="AK645" s="1326"/>
      <c r="AV645" s="2"/>
      <c r="AW645" s="2"/>
      <c r="AX645" s="2"/>
      <c r="AY645" s="2"/>
      <c r="AZ645" s="2"/>
      <c r="BA645" s="2"/>
      <c r="BB645" s="2"/>
      <c r="BC645" s="2"/>
      <c r="BD645" s="2"/>
      <c r="BE645" s="2"/>
      <c r="BF645" s="2"/>
      <c r="BG645" s="2"/>
      <c r="BH645" s="2"/>
      <c r="BI645" s="2"/>
      <c r="BJ645" s="2"/>
      <c r="BK645" s="2"/>
      <c r="BL645" s="2"/>
      <c r="BM645" s="2"/>
      <c r="DX645" s="1324" t="e">
        <f t="shared" si="2"/>
        <v>#VALUE!</v>
      </c>
      <c r="DY645" s="1324"/>
      <c r="DZ645" s="1324"/>
      <c r="EA645" s="1324"/>
      <c r="EB645" s="1324"/>
      <c r="EC645" s="1324" t="e">
        <f t="shared" si="3"/>
        <v>#VALUE!</v>
      </c>
      <c r="ED645" s="1324"/>
      <c r="EE645" s="1324"/>
      <c r="EF645" s="1324"/>
      <c r="EG645" s="1324"/>
      <c r="EH645" s="1324" t="e">
        <f t="shared" si="4"/>
        <v>#VALUE!</v>
      </c>
      <c r="EI645" s="1324"/>
      <c r="EJ645" s="1324"/>
      <c r="EK645" s="1324"/>
      <c r="EL645" s="1324"/>
      <c r="EM645" s="1324" t="e">
        <f t="shared" si="5"/>
        <v>#VALUE!</v>
      </c>
      <c r="EN645" s="1324"/>
      <c r="EO645" s="1324"/>
      <c r="EP645" s="1324"/>
      <c r="EQ645" s="1324"/>
      <c r="ER645" s="1324" t="e">
        <f t="shared" si="6"/>
        <v>#VALUE!</v>
      </c>
      <c r="ES645" s="1324"/>
      <c r="ET645" s="1324"/>
      <c r="EU645" s="1324"/>
      <c r="EV645" s="1324"/>
      <c r="EW645" s="1324" t="e">
        <f t="shared" si="7"/>
        <v>#VALUE!</v>
      </c>
      <c r="EX645" s="1324"/>
      <c r="EY645" s="1324"/>
      <c r="EZ645" s="1324"/>
      <c r="FA645" s="1324"/>
    </row>
    <row r="646" spans="1:157" ht="13" customHeight="1">
      <c r="A646" s="17"/>
      <c r="B646" t="s">
        <v>1414</v>
      </c>
      <c r="G646" s="1359" t="s">
        <v>1415</v>
      </c>
      <c r="H646" s="1359"/>
      <c r="I646" s="1359"/>
      <c r="J646" s="1359"/>
      <c r="K646" s="1359"/>
      <c r="L646" s="1359"/>
      <c r="M646" s="1359"/>
      <c r="N646" s="1359"/>
      <c r="O646" s="1359"/>
      <c r="P646" s="1359"/>
      <c r="Q646" s="1359"/>
      <c r="R646" s="1359"/>
      <c r="S646" s="6"/>
      <c r="T646" s="17"/>
      <c r="U646" t="s">
        <v>1414</v>
      </c>
      <c r="Z646" s="1326" t="s">
        <v>1442</v>
      </c>
      <c r="AA646" s="1326"/>
      <c r="AB646" s="1326"/>
      <c r="AC646" s="1326"/>
      <c r="AD646" s="1326"/>
      <c r="AE646" s="1326"/>
      <c r="AF646" s="1326"/>
      <c r="AG646" s="1326"/>
      <c r="AH646" s="1326"/>
      <c r="AI646" s="1326"/>
      <c r="AJ646" s="1326"/>
      <c r="AK646" s="1326"/>
      <c r="AZ646" s="2"/>
      <c r="BA646" s="2"/>
      <c r="BB646" s="2"/>
      <c r="BC646" s="2"/>
      <c r="BD646" s="2"/>
      <c r="BE646" s="2"/>
      <c r="BF646" s="2"/>
      <c r="BG646" s="2"/>
      <c r="BH646" s="2"/>
      <c r="BI646" s="2"/>
      <c r="BJ646" s="2"/>
      <c r="BK646" s="2"/>
      <c r="BL646" s="2"/>
      <c r="BM646" s="2"/>
      <c r="DX646" s="1324" t="e">
        <f t="shared" si="2"/>
        <v>#VALUE!</v>
      </c>
      <c r="DY646" s="1324"/>
      <c r="DZ646" s="1324"/>
      <c r="EA646" s="1324"/>
      <c r="EB646" s="1324"/>
      <c r="EC646" s="1324" t="e">
        <f t="shared" si="3"/>
        <v>#VALUE!</v>
      </c>
      <c r="ED646" s="1324"/>
      <c r="EE646" s="1324"/>
      <c r="EF646" s="1324"/>
      <c r="EG646" s="1324"/>
      <c r="EH646" s="1324" t="e">
        <f t="shared" si="4"/>
        <v>#VALUE!</v>
      </c>
      <c r="EI646" s="1324"/>
      <c r="EJ646" s="1324"/>
      <c r="EK646" s="1324"/>
      <c r="EL646" s="1324"/>
      <c r="EM646" s="1324" t="e">
        <f t="shared" si="5"/>
        <v>#VALUE!</v>
      </c>
      <c r="EN646" s="1324"/>
      <c r="EO646" s="1324"/>
      <c r="EP646" s="1324"/>
      <c r="EQ646" s="1324"/>
      <c r="ER646" s="1324" t="e">
        <f t="shared" si="6"/>
        <v>#VALUE!</v>
      </c>
      <c r="ES646" s="1324"/>
      <c r="ET646" s="1324"/>
      <c r="EU646" s="1324"/>
      <c r="EV646" s="1324"/>
      <c r="EW646" s="1324" t="e">
        <f t="shared" si="7"/>
        <v>#VALUE!</v>
      </c>
      <c r="EX646" s="1324"/>
      <c r="EY646" s="1324"/>
      <c r="EZ646" s="1324"/>
      <c r="FA646" s="1324"/>
    </row>
    <row r="647" spans="1:157" ht="13" customHeight="1">
      <c r="A647" s="17"/>
      <c r="B647" t="s">
        <v>825</v>
      </c>
      <c r="G647" s="1439" t="s">
        <v>1416</v>
      </c>
      <c r="H647" s="1439"/>
      <c r="I647" s="1439"/>
      <c r="J647" s="1439"/>
      <c r="K647" s="1439"/>
      <c r="L647" s="1439"/>
      <c r="O647" s="819" t="s">
        <v>1074</v>
      </c>
      <c r="P647" s="1423"/>
      <c r="Q647" s="1423"/>
      <c r="R647" s="1423"/>
      <c r="S647" s="8"/>
      <c r="T647" s="17"/>
      <c r="U647" t="s">
        <v>825</v>
      </c>
      <c r="Z647" s="1439" t="s">
        <v>1443</v>
      </c>
      <c r="AA647" s="1439"/>
      <c r="AB647" s="1439"/>
      <c r="AC647" s="1439"/>
      <c r="AD647" s="1439"/>
      <c r="AE647" s="1439"/>
      <c r="AH647" s="819" t="s">
        <v>1074</v>
      </c>
      <c r="AI647" s="1423"/>
      <c r="AJ647" s="1423"/>
      <c r="AK647" s="1423"/>
      <c r="AZ647" s="2"/>
      <c r="BA647" s="2"/>
      <c r="BB647" s="2"/>
      <c r="BC647" s="2"/>
      <c r="BD647" s="2"/>
      <c r="BE647" s="2"/>
      <c r="BF647" s="2"/>
      <c r="BG647" s="2"/>
      <c r="BH647" s="2"/>
      <c r="BI647" s="2"/>
      <c r="BJ647" s="2"/>
      <c r="BK647" s="2"/>
      <c r="BL647" s="2"/>
      <c r="BM647" s="2"/>
      <c r="DX647" s="1324" t="e">
        <f t="shared" si="2"/>
        <v>#VALUE!</v>
      </c>
      <c r="DY647" s="1324"/>
      <c r="DZ647" s="1324"/>
      <c r="EA647" s="1324"/>
      <c r="EB647" s="1324"/>
      <c r="EC647" s="1324" t="e">
        <f t="shared" si="3"/>
        <v>#VALUE!</v>
      </c>
      <c r="ED647" s="1324"/>
      <c r="EE647" s="1324"/>
      <c r="EF647" s="1324"/>
      <c r="EG647" s="1324"/>
      <c r="EH647" s="1324" t="e">
        <f t="shared" si="4"/>
        <v>#VALUE!</v>
      </c>
      <c r="EI647" s="1324"/>
      <c r="EJ647" s="1324"/>
      <c r="EK647" s="1324"/>
      <c r="EL647" s="1324"/>
      <c r="EM647" s="1324" t="e">
        <f t="shared" si="5"/>
        <v>#VALUE!</v>
      </c>
      <c r="EN647" s="1324"/>
      <c r="EO647" s="1324"/>
      <c r="EP647" s="1324"/>
      <c r="EQ647" s="1324"/>
      <c r="ER647" s="1324" t="e">
        <f t="shared" si="6"/>
        <v>#VALUE!</v>
      </c>
      <c r="ES647" s="1324"/>
      <c r="ET647" s="1324"/>
      <c r="EU647" s="1324"/>
      <c r="EV647" s="1324"/>
      <c r="EW647" s="1324" t="e">
        <f t="shared" si="7"/>
        <v>#VALUE!</v>
      </c>
      <c r="EX647" s="1324"/>
      <c r="EY647" s="1324"/>
      <c r="EZ647" s="1324"/>
      <c r="FA647" s="1324"/>
    </row>
    <row r="648" spans="1:157" ht="13" customHeight="1">
      <c r="A648" s="17"/>
      <c r="B648" t="s">
        <v>1417</v>
      </c>
      <c r="H648" s="1359" t="s">
        <v>1425</v>
      </c>
      <c r="I648" s="1359"/>
      <c r="J648" s="1359"/>
      <c r="K648" s="1359"/>
      <c r="L648" s="1359"/>
      <c r="M648" s="1359"/>
      <c r="N648" s="1359"/>
      <c r="O648" s="1359"/>
      <c r="P648" s="1359"/>
      <c r="Q648" s="1359"/>
      <c r="R648" s="1359"/>
      <c r="S648" s="6"/>
      <c r="T648" s="17"/>
      <c r="U648" t="s">
        <v>1417</v>
      </c>
      <c r="AA648" s="1359" t="s">
        <v>1444</v>
      </c>
      <c r="AB648" s="1359"/>
      <c r="AC648" s="1359"/>
      <c r="AD648" s="1359"/>
      <c r="AE648" s="1359"/>
      <c r="AF648" s="1359"/>
      <c r="AG648" s="1359"/>
      <c r="AH648" s="1359"/>
      <c r="AI648" s="1359"/>
      <c r="AJ648" s="1359"/>
      <c r="AK648" s="1359"/>
      <c r="AZ648" s="2"/>
      <c r="BA648" s="2"/>
      <c r="BB648" s="2"/>
      <c r="BC648" s="2"/>
      <c r="BD648" s="2"/>
      <c r="BE648" s="2"/>
      <c r="BF648" s="2"/>
      <c r="BG648" s="2"/>
      <c r="BH648" s="2"/>
      <c r="BI648" s="2"/>
      <c r="BJ648" s="2"/>
      <c r="BK648" s="2"/>
      <c r="BL648" s="2"/>
      <c r="BM648" s="2"/>
      <c r="DX648" s="1324" t="e">
        <f t="shared" si="2"/>
        <v>#VALUE!</v>
      </c>
      <c r="DY648" s="1324"/>
      <c r="DZ648" s="1324"/>
      <c r="EA648" s="1324"/>
      <c r="EB648" s="1324"/>
      <c r="EC648" s="1324" t="e">
        <f t="shared" si="3"/>
        <v>#VALUE!</v>
      </c>
      <c r="ED648" s="1324"/>
      <c r="EE648" s="1324"/>
      <c r="EF648" s="1324"/>
      <c r="EG648" s="1324"/>
      <c r="EH648" s="1324" t="e">
        <f t="shared" si="4"/>
        <v>#VALUE!</v>
      </c>
      <c r="EI648" s="1324"/>
      <c r="EJ648" s="1324"/>
      <c r="EK648" s="1324"/>
      <c r="EL648" s="1324"/>
      <c r="EM648" s="1324" t="e">
        <f t="shared" si="5"/>
        <v>#VALUE!</v>
      </c>
      <c r="EN648" s="1324"/>
      <c r="EO648" s="1324"/>
      <c r="EP648" s="1324"/>
      <c r="EQ648" s="1324"/>
      <c r="ER648" s="1324" t="e">
        <f t="shared" si="6"/>
        <v>#VALUE!</v>
      </c>
      <c r="ES648" s="1324"/>
      <c r="ET648" s="1324"/>
      <c r="EU648" s="1324"/>
      <c r="EV648" s="1324"/>
      <c r="EW648" s="1324" t="e">
        <f t="shared" si="7"/>
        <v>#VALUE!</v>
      </c>
      <c r="EX648" s="1324"/>
      <c r="EY648" s="1324"/>
      <c r="EZ648" s="1324"/>
      <c r="FA648" s="1324"/>
    </row>
    <row r="649" spans="1:157" ht="13" customHeight="1">
      <c r="A649" s="17"/>
      <c r="B649" t="s">
        <v>1421</v>
      </c>
      <c r="N649" s="1367" t="s">
        <v>847</v>
      </c>
      <c r="O649" s="1367"/>
      <c r="T649" s="17"/>
      <c r="U649" t="s">
        <v>1421</v>
      </c>
      <c r="AG649" s="1367" t="s">
        <v>847</v>
      </c>
      <c r="AH649" s="1367"/>
      <c r="AZ649" s="2"/>
      <c r="BA649" s="2"/>
      <c r="BB649" s="2"/>
      <c r="BC649" s="2"/>
      <c r="BD649" s="2"/>
      <c r="BE649" s="2"/>
      <c r="BF649" s="2"/>
      <c r="BG649" s="2"/>
      <c r="BH649" s="2"/>
      <c r="BI649" s="2"/>
      <c r="BJ649" s="2"/>
      <c r="BK649" s="2"/>
      <c r="BL649" s="2"/>
      <c r="BM649" s="2"/>
      <c r="DX649" s="1324" t="e">
        <f t="shared" si="2"/>
        <v>#VALUE!</v>
      </c>
      <c r="DY649" s="1324"/>
      <c r="DZ649" s="1324"/>
      <c r="EA649" s="1324"/>
      <c r="EB649" s="1324"/>
      <c r="EC649" s="1324" t="e">
        <f t="shared" si="3"/>
        <v>#VALUE!</v>
      </c>
      <c r="ED649" s="1324"/>
      <c r="EE649" s="1324"/>
      <c r="EF649" s="1324"/>
      <c r="EG649" s="1324"/>
      <c r="EH649" s="1324" t="e">
        <f t="shared" si="4"/>
        <v>#VALUE!</v>
      </c>
      <c r="EI649" s="1324"/>
      <c r="EJ649" s="1324"/>
      <c r="EK649" s="1324"/>
      <c r="EL649" s="1324"/>
      <c r="EM649" s="1324" t="e">
        <f t="shared" si="5"/>
        <v>#VALUE!</v>
      </c>
      <c r="EN649" s="1324"/>
      <c r="EO649" s="1324"/>
      <c r="EP649" s="1324"/>
      <c r="EQ649" s="1324"/>
      <c r="ER649" s="1324" t="e">
        <f t="shared" si="6"/>
        <v>#VALUE!</v>
      </c>
      <c r="ES649" s="1324"/>
      <c r="ET649" s="1324"/>
      <c r="EU649" s="1324"/>
      <c r="EV649" s="1324"/>
      <c r="EW649" s="1324" t="e">
        <f t="shared" si="7"/>
        <v>#VALUE!</v>
      </c>
      <c r="EX649" s="1324"/>
      <c r="EY649" s="1324"/>
      <c r="EZ649" s="1324"/>
      <c r="FA649" s="1324"/>
    </row>
    <row r="650" spans="1:157" ht="13" customHeight="1">
      <c r="A650" s="17"/>
      <c r="T650" s="17"/>
      <c r="AZ650" s="2"/>
      <c r="BA650" s="2"/>
      <c r="BB650" s="2"/>
      <c r="BC650" s="2"/>
      <c r="BD650" s="2"/>
      <c r="BE650" s="2"/>
      <c r="BF650" s="2"/>
      <c r="BG650" s="2"/>
      <c r="BH650" s="2"/>
      <c r="BI650" s="2"/>
      <c r="BJ650" s="2"/>
      <c r="BK650" s="2"/>
      <c r="BL650" s="2"/>
      <c r="BM650" s="2"/>
      <c r="DX650" s="1324" t="e">
        <f t="shared" si="2"/>
        <v>#VALUE!</v>
      </c>
      <c r="DY650" s="1324"/>
      <c r="DZ650" s="1324"/>
      <c r="EA650" s="1324"/>
      <c r="EB650" s="1324"/>
      <c r="EC650" s="1324" t="e">
        <f t="shared" si="3"/>
        <v>#VALUE!</v>
      </c>
      <c r="ED650" s="1324"/>
      <c r="EE650" s="1324"/>
      <c r="EF650" s="1324"/>
      <c r="EG650" s="1324"/>
      <c r="EH650" s="1324" t="e">
        <f t="shared" si="4"/>
        <v>#VALUE!</v>
      </c>
      <c r="EI650" s="1324"/>
      <c r="EJ650" s="1324"/>
      <c r="EK650" s="1324"/>
      <c r="EL650" s="1324"/>
      <c r="EM650" s="1324" t="e">
        <f t="shared" si="5"/>
        <v>#VALUE!</v>
      </c>
      <c r="EN650" s="1324"/>
      <c r="EO650" s="1324"/>
      <c r="EP650" s="1324"/>
      <c r="EQ650" s="1324"/>
      <c r="ER650" s="1324" t="e">
        <f t="shared" si="6"/>
        <v>#VALUE!</v>
      </c>
      <c r="ES650" s="1324"/>
      <c r="ET650" s="1324"/>
      <c r="EU650" s="1324"/>
      <c r="EV650" s="1324"/>
      <c r="EW650" s="1324" t="e">
        <f t="shared" si="7"/>
        <v>#VALUE!</v>
      </c>
      <c r="EX650" s="1324"/>
      <c r="EY650" s="1324"/>
      <c r="EZ650" s="1324"/>
      <c r="FA650" s="1324"/>
    </row>
    <row r="651" spans="1:157" ht="13" customHeight="1">
      <c r="A651" s="36" t="s">
        <v>39</v>
      </c>
      <c r="B651" t="s">
        <v>1412</v>
      </c>
      <c r="G651" s="1435" t="str">
        <f>C629</f>
        <v>Deferred Developer Fee</v>
      </c>
      <c r="H651" s="1435"/>
      <c r="I651" s="1435"/>
      <c r="J651" s="1435"/>
      <c r="K651" s="1435"/>
      <c r="L651" s="1435"/>
      <c r="M651" s="1435"/>
      <c r="N651" s="1435"/>
      <c r="O651" s="1435"/>
      <c r="P651" s="1435"/>
      <c r="Q651" s="1435"/>
      <c r="R651" s="1435"/>
      <c r="T651" s="36" t="s">
        <v>82</v>
      </c>
      <c r="U651" t="s">
        <v>1412</v>
      </c>
      <c r="Z651" s="1435">
        <f>C630</f>
        <v>0</v>
      </c>
      <c r="AA651" s="1435"/>
      <c r="AB651" s="1435"/>
      <c r="AC651" s="1435"/>
      <c r="AD651" s="1435"/>
      <c r="AE651" s="1435"/>
      <c r="AF651" s="1435"/>
      <c r="AG651" s="1435"/>
      <c r="AH651" s="1435"/>
      <c r="AI651" s="1435"/>
      <c r="AJ651" s="1435"/>
      <c r="AK651" s="1435"/>
      <c r="AZ651" s="2"/>
      <c r="BA651" s="2"/>
      <c r="BB651" s="2"/>
      <c r="BC651" s="2"/>
      <c r="BD651" s="2"/>
      <c r="BE651" s="2"/>
      <c r="BF651" s="2"/>
      <c r="BG651" s="2"/>
      <c r="BH651" s="2"/>
      <c r="BI651" s="2"/>
      <c r="BJ651" s="2"/>
      <c r="BK651" s="2"/>
      <c r="BL651" s="2"/>
      <c r="BM651" s="2"/>
      <c r="DX651" s="1324" t="e">
        <f t="shared" si="2"/>
        <v>#VALUE!</v>
      </c>
      <c r="DY651" s="1324"/>
      <c r="DZ651" s="1324"/>
      <c r="EA651" s="1324"/>
      <c r="EB651" s="1324"/>
      <c r="EC651" s="1324" t="e">
        <f t="shared" si="3"/>
        <v>#VALUE!</v>
      </c>
      <c r="ED651" s="1324"/>
      <c r="EE651" s="1324"/>
      <c r="EF651" s="1324"/>
      <c r="EG651" s="1324"/>
      <c r="EH651" s="1324" t="e">
        <f t="shared" si="4"/>
        <v>#VALUE!</v>
      </c>
      <c r="EI651" s="1324"/>
      <c r="EJ651" s="1324"/>
      <c r="EK651" s="1324"/>
      <c r="EL651" s="1324"/>
      <c r="EM651" s="1324" t="e">
        <f t="shared" si="5"/>
        <v>#VALUE!</v>
      </c>
      <c r="EN651" s="1324"/>
      <c r="EO651" s="1324"/>
      <c r="EP651" s="1324"/>
      <c r="EQ651" s="1324"/>
      <c r="ER651" s="1324" t="e">
        <f t="shared" si="6"/>
        <v>#VALUE!</v>
      </c>
      <c r="ES651" s="1324"/>
      <c r="ET651" s="1324"/>
      <c r="EU651" s="1324"/>
      <c r="EV651" s="1324"/>
      <c r="EW651" s="1324" t="e">
        <f t="shared" si="7"/>
        <v>#VALUE!</v>
      </c>
      <c r="EX651" s="1324"/>
      <c r="EY651" s="1324"/>
      <c r="EZ651" s="1324"/>
      <c r="FA651" s="1324"/>
    </row>
    <row r="652" spans="1:157" ht="13" customHeight="1">
      <c r="A652" s="17"/>
      <c r="B652" t="s">
        <v>1065</v>
      </c>
      <c r="G652" s="1359" t="s">
        <v>1422</v>
      </c>
      <c r="H652" s="1359"/>
      <c r="I652" s="1359"/>
      <c r="J652" s="1359"/>
      <c r="K652" s="1359"/>
      <c r="L652" s="1359"/>
      <c r="M652" s="1359"/>
      <c r="N652" s="1359"/>
      <c r="O652" s="1359"/>
      <c r="P652" s="1359"/>
      <c r="Q652" s="1359"/>
      <c r="R652" s="1359"/>
      <c r="T652" s="17"/>
      <c r="U652" t="s">
        <v>1065</v>
      </c>
      <c r="Z652" s="1359"/>
      <c r="AA652" s="1359"/>
      <c r="AB652" s="1359"/>
      <c r="AC652" s="1359"/>
      <c r="AD652" s="1359"/>
      <c r="AE652" s="1359"/>
      <c r="AF652" s="1359"/>
      <c r="AG652" s="1359"/>
      <c r="AH652" s="1359"/>
      <c r="AI652" s="1359"/>
      <c r="AJ652" s="1359"/>
      <c r="AK652" s="1359"/>
      <c r="AZ652" s="2"/>
      <c r="BA652" s="2"/>
      <c r="BB652" s="2"/>
      <c r="BC652" s="2"/>
      <c r="BD652" s="2"/>
      <c r="BE652" s="2"/>
      <c r="BF652" s="2"/>
      <c r="BG652" s="2"/>
      <c r="BH652" s="2"/>
      <c r="BI652" s="2"/>
      <c r="BJ652" s="2"/>
      <c r="BK652" s="2"/>
      <c r="BL652" s="2"/>
      <c r="BM652" s="2"/>
      <c r="DX652" s="1324" t="e">
        <f t="shared" si="2"/>
        <v>#VALUE!</v>
      </c>
      <c r="DY652" s="1324"/>
      <c r="DZ652" s="1324"/>
      <c r="EA652" s="1324"/>
      <c r="EB652" s="1324"/>
      <c r="EC652" s="1324" t="e">
        <f t="shared" si="3"/>
        <v>#VALUE!</v>
      </c>
      <c r="ED652" s="1324"/>
      <c r="EE652" s="1324"/>
      <c r="EF652" s="1324"/>
      <c r="EG652" s="1324"/>
      <c r="EH652" s="1324" t="e">
        <f t="shared" si="4"/>
        <v>#VALUE!</v>
      </c>
      <c r="EI652" s="1324"/>
      <c r="EJ652" s="1324"/>
      <c r="EK652" s="1324"/>
      <c r="EL652" s="1324"/>
      <c r="EM652" s="1324" t="e">
        <f t="shared" si="5"/>
        <v>#VALUE!</v>
      </c>
      <c r="EN652" s="1324"/>
      <c r="EO652" s="1324"/>
      <c r="EP652" s="1324"/>
      <c r="EQ652" s="1324"/>
      <c r="ER652" s="1324" t="e">
        <f t="shared" si="6"/>
        <v>#VALUE!</v>
      </c>
      <c r="ES652" s="1324"/>
      <c r="ET652" s="1324"/>
      <c r="EU652" s="1324"/>
      <c r="EV652" s="1324"/>
      <c r="EW652" s="1324" t="e">
        <f t="shared" si="7"/>
        <v>#VALUE!</v>
      </c>
      <c r="EX652" s="1324"/>
      <c r="EY652" s="1324"/>
      <c r="EZ652" s="1324"/>
      <c r="FA652" s="1324"/>
    </row>
    <row r="653" spans="1:157" ht="13" customHeight="1">
      <c r="A653" s="17"/>
      <c r="B653" t="s">
        <v>932</v>
      </c>
      <c r="G653" s="1326" t="s">
        <v>1424</v>
      </c>
      <c r="H653" s="1326"/>
      <c r="I653" s="1326"/>
      <c r="J653" s="1326"/>
      <c r="K653" s="1326"/>
      <c r="L653" s="1326"/>
      <c r="M653" s="1326"/>
      <c r="N653" s="1326"/>
      <c r="O653" s="1326"/>
      <c r="P653" s="1326"/>
      <c r="Q653" s="1326"/>
      <c r="R653" s="1326"/>
      <c r="T653" s="17"/>
      <c r="U653" t="s">
        <v>932</v>
      </c>
      <c r="Z653" s="1326"/>
      <c r="AA653" s="1326"/>
      <c r="AB653" s="1326"/>
      <c r="AC653" s="1326"/>
      <c r="AD653" s="1326"/>
      <c r="AE653" s="1326"/>
      <c r="AF653" s="1326"/>
      <c r="AG653" s="1326"/>
      <c r="AH653" s="1326"/>
      <c r="AI653" s="1326"/>
      <c r="AJ653" s="1326"/>
      <c r="AK653" s="1326"/>
      <c r="AZ653" s="2"/>
      <c r="BA653" s="2"/>
      <c r="BB653" s="2"/>
      <c r="BC653" s="2"/>
      <c r="BD653" s="2"/>
      <c r="BE653" s="2"/>
      <c r="BF653" s="2"/>
      <c r="BG653" s="2"/>
      <c r="BH653" s="2"/>
      <c r="BI653" s="2"/>
      <c r="BJ653" s="2"/>
      <c r="BK653" s="2"/>
      <c r="BL653" s="2"/>
      <c r="BM653" s="2"/>
      <c r="DX653" s="1324" t="e">
        <f t="shared" si="2"/>
        <v>#VALUE!</v>
      </c>
      <c r="DY653" s="1324"/>
      <c r="DZ653" s="1324"/>
      <c r="EA653" s="1324"/>
      <c r="EB653" s="1324"/>
      <c r="EC653" s="1324" t="e">
        <f t="shared" si="3"/>
        <v>#VALUE!</v>
      </c>
      <c r="ED653" s="1324"/>
      <c r="EE653" s="1324"/>
      <c r="EF653" s="1324"/>
      <c r="EG653" s="1324"/>
      <c r="EH653" s="1324" t="e">
        <f t="shared" si="4"/>
        <v>#VALUE!</v>
      </c>
      <c r="EI653" s="1324"/>
      <c r="EJ653" s="1324"/>
      <c r="EK653" s="1324"/>
      <c r="EL653" s="1324"/>
      <c r="EM653" s="1324" t="e">
        <f t="shared" si="5"/>
        <v>#VALUE!</v>
      </c>
      <c r="EN653" s="1324"/>
      <c r="EO653" s="1324"/>
      <c r="EP653" s="1324"/>
      <c r="EQ653" s="1324"/>
      <c r="ER653" s="1324" t="e">
        <f t="shared" si="6"/>
        <v>#VALUE!</v>
      </c>
      <c r="ES653" s="1324"/>
      <c r="ET653" s="1324"/>
      <c r="EU653" s="1324"/>
      <c r="EV653" s="1324"/>
      <c r="EW653" s="1324" t="e">
        <f t="shared" si="7"/>
        <v>#VALUE!</v>
      </c>
      <c r="EX653" s="1324"/>
      <c r="EY653" s="1324"/>
      <c r="EZ653" s="1324"/>
      <c r="FA653" s="1324"/>
    </row>
    <row r="654" spans="1:157" ht="13" customHeight="1">
      <c r="A654" s="17"/>
      <c r="B654" t="s">
        <v>1414</v>
      </c>
      <c r="G654" s="1326" t="s">
        <v>1071</v>
      </c>
      <c r="H654" s="1326"/>
      <c r="I654" s="1326"/>
      <c r="J654" s="1326"/>
      <c r="K654" s="1326"/>
      <c r="L654" s="1326"/>
      <c r="M654" s="1326"/>
      <c r="N654" s="1326"/>
      <c r="O654" s="1326"/>
      <c r="P654" s="1326"/>
      <c r="Q654" s="1326"/>
      <c r="R654" s="1326"/>
      <c r="T654" s="17"/>
      <c r="U654" t="s">
        <v>1414</v>
      </c>
      <c r="Z654" s="1326"/>
      <c r="AA654" s="1326"/>
      <c r="AB654" s="1326"/>
      <c r="AC654" s="1326"/>
      <c r="AD654" s="1326"/>
      <c r="AE654" s="1326"/>
      <c r="AF654" s="1326"/>
      <c r="AG654" s="1326"/>
      <c r="AH654" s="1326"/>
      <c r="AI654" s="1326"/>
      <c r="AJ654" s="1326"/>
      <c r="AK654" s="1326"/>
      <c r="AZ654" s="2"/>
      <c r="BA654" s="2"/>
      <c r="BB654" s="2"/>
      <c r="BC654" s="2"/>
      <c r="BD654" s="2"/>
      <c r="BE654" s="2"/>
      <c r="BF654" s="2"/>
      <c r="BG654" s="2"/>
      <c r="BH654" s="2"/>
      <c r="BI654" s="2"/>
      <c r="BJ654" s="2"/>
      <c r="BK654" s="2"/>
      <c r="BL654" s="2"/>
      <c r="BM654" s="2"/>
      <c r="DX654" s="1324" t="e">
        <f t="shared" si="2"/>
        <v>#VALUE!</v>
      </c>
      <c r="DY654" s="1324"/>
      <c r="DZ654" s="1324"/>
      <c r="EA654" s="1324"/>
      <c r="EB654" s="1324"/>
      <c r="EC654" s="1324" t="e">
        <f t="shared" si="3"/>
        <v>#VALUE!</v>
      </c>
      <c r="ED654" s="1324"/>
      <c r="EE654" s="1324"/>
      <c r="EF654" s="1324"/>
      <c r="EG654" s="1324"/>
      <c r="EH654" s="1324" t="e">
        <f t="shared" si="4"/>
        <v>#VALUE!</v>
      </c>
      <c r="EI654" s="1324"/>
      <c r="EJ654" s="1324"/>
      <c r="EK654" s="1324"/>
      <c r="EL654" s="1324"/>
      <c r="EM654" s="1324" t="e">
        <f t="shared" si="5"/>
        <v>#VALUE!</v>
      </c>
      <c r="EN654" s="1324"/>
      <c r="EO654" s="1324"/>
      <c r="EP654" s="1324"/>
      <c r="EQ654" s="1324"/>
      <c r="ER654" s="1324" t="e">
        <f t="shared" si="6"/>
        <v>#VALUE!</v>
      </c>
      <c r="ES654" s="1324"/>
      <c r="ET654" s="1324"/>
      <c r="EU654" s="1324"/>
      <c r="EV654" s="1324"/>
      <c r="EW654" s="1324" t="e">
        <f t="shared" si="7"/>
        <v>#VALUE!</v>
      </c>
      <c r="EX654" s="1324"/>
      <c r="EY654" s="1324"/>
      <c r="EZ654" s="1324"/>
      <c r="FA654" s="1324"/>
    </row>
    <row r="655" spans="1:157" ht="13" customHeight="1">
      <c r="A655" s="17"/>
      <c r="B655" t="s">
        <v>825</v>
      </c>
      <c r="G655" s="1439" t="s">
        <v>1073</v>
      </c>
      <c r="H655" s="1439"/>
      <c r="I655" s="1439"/>
      <c r="J655" s="1439"/>
      <c r="K655" s="1439"/>
      <c r="L655" s="1439"/>
      <c r="O655" s="819" t="s">
        <v>1074</v>
      </c>
      <c r="P655" s="1423"/>
      <c r="Q655" s="1423"/>
      <c r="R655" s="1423"/>
      <c r="T655" s="17"/>
      <c r="U655" t="s">
        <v>825</v>
      </c>
      <c r="Z655" s="1439"/>
      <c r="AA655" s="1439"/>
      <c r="AB655" s="1439"/>
      <c r="AC655" s="1439"/>
      <c r="AD655" s="1439"/>
      <c r="AE655" s="1439"/>
      <c r="AH655" s="819" t="s">
        <v>1074</v>
      </c>
      <c r="AI655" s="1423"/>
      <c r="AJ655" s="1423"/>
      <c r="AK655" s="1423"/>
      <c r="AZ655" s="2"/>
      <c r="BA655" s="2"/>
      <c r="BB655" s="2"/>
      <c r="BC655" s="2"/>
      <c r="BD655" s="2"/>
      <c r="BE655" s="2"/>
      <c r="BF655" s="2"/>
      <c r="BG655" s="2"/>
      <c r="BH655" s="2"/>
      <c r="BI655" s="2"/>
      <c r="BJ655" s="2"/>
      <c r="BK655" s="2"/>
      <c r="BL655" s="2"/>
      <c r="BM655" s="2"/>
      <c r="DX655" s="1324" t="e">
        <f t="shared" si="2"/>
        <v>#VALUE!</v>
      </c>
      <c r="DY655" s="1324"/>
      <c r="DZ655" s="1324"/>
      <c r="EA655" s="1324"/>
      <c r="EB655" s="1324"/>
      <c r="EC655" s="1324" t="e">
        <f t="shared" si="3"/>
        <v>#VALUE!</v>
      </c>
      <c r="ED655" s="1324"/>
      <c r="EE655" s="1324"/>
      <c r="EF655" s="1324"/>
      <c r="EG655" s="1324"/>
      <c r="EH655" s="1324" t="e">
        <f t="shared" si="4"/>
        <v>#VALUE!</v>
      </c>
      <c r="EI655" s="1324"/>
      <c r="EJ655" s="1324"/>
      <c r="EK655" s="1324"/>
      <c r="EL655" s="1324"/>
      <c r="EM655" s="1324" t="e">
        <f t="shared" si="5"/>
        <v>#VALUE!</v>
      </c>
      <c r="EN655" s="1324"/>
      <c r="EO655" s="1324"/>
      <c r="EP655" s="1324"/>
      <c r="EQ655" s="1324"/>
      <c r="ER655" s="1324" t="e">
        <f t="shared" si="6"/>
        <v>#VALUE!</v>
      </c>
      <c r="ES655" s="1324"/>
      <c r="ET655" s="1324"/>
      <c r="EU655" s="1324"/>
      <c r="EV655" s="1324"/>
      <c r="EW655" s="1324" t="e">
        <f t="shared" si="7"/>
        <v>#VALUE!</v>
      </c>
      <c r="EX655" s="1324"/>
      <c r="EY655" s="1324"/>
      <c r="EZ655" s="1324"/>
      <c r="FA655" s="1324"/>
    </row>
    <row r="656" spans="1:157" ht="13" customHeight="1">
      <c r="A656" s="17"/>
      <c r="B656" t="s">
        <v>1417</v>
      </c>
      <c r="H656" s="1359" t="s">
        <v>1425</v>
      </c>
      <c r="I656" s="1359"/>
      <c r="J656" s="1359"/>
      <c r="K656" s="1359"/>
      <c r="L656" s="1359"/>
      <c r="M656" s="1359"/>
      <c r="N656" s="1359"/>
      <c r="O656" s="1359"/>
      <c r="P656" s="1359"/>
      <c r="Q656" s="1359"/>
      <c r="R656" s="1359"/>
      <c r="T656" s="17"/>
      <c r="U656" t="s">
        <v>1417</v>
      </c>
      <c r="AA656" s="1359"/>
      <c r="AB656" s="1359"/>
      <c r="AC656" s="1359"/>
      <c r="AD656" s="1359"/>
      <c r="AE656" s="1359"/>
      <c r="AF656" s="1359"/>
      <c r="AG656" s="1359"/>
      <c r="AH656" s="1359"/>
      <c r="AI656" s="1359"/>
      <c r="AJ656" s="1359"/>
      <c r="AK656" s="1359"/>
      <c r="AZ656" s="2"/>
      <c r="BA656" s="2"/>
      <c r="BB656" s="2"/>
      <c r="BC656" s="2"/>
      <c r="BD656" s="2"/>
      <c r="BE656" s="2"/>
      <c r="BF656" s="2"/>
      <c r="BG656" s="2"/>
      <c r="BH656" s="2"/>
      <c r="BI656" s="2"/>
      <c r="BJ656" s="2"/>
      <c r="BK656" s="2"/>
      <c r="BL656" s="2"/>
      <c r="BM656" s="2"/>
      <c r="DX656" s="1324" t="e">
        <f t="shared" si="2"/>
        <v>#VALUE!</v>
      </c>
      <c r="DY656" s="1324"/>
      <c r="DZ656" s="1324"/>
      <c r="EA656" s="1324"/>
      <c r="EB656" s="1324"/>
      <c r="EC656" s="1324" t="e">
        <f t="shared" si="3"/>
        <v>#VALUE!</v>
      </c>
      <c r="ED656" s="1324"/>
      <c r="EE656" s="1324"/>
      <c r="EF656" s="1324"/>
      <c r="EG656" s="1324"/>
      <c r="EH656" s="1324" t="e">
        <f t="shared" si="4"/>
        <v>#VALUE!</v>
      </c>
      <c r="EI656" s="1324"/>
      <c r="EJ656" s="1324"/>
      <c r="EK656" s="1324"/>
      <c r="EL656" s="1324"/>
      <c r="EM656" s="1324" t="e">
        <f t="shared" si="5"/>
        <v>#VALUE!</v>
      </c>
      <c r="EN656" s="1324"/>
      <c r="EO656" s="1324"/>
      <c r="EP656" s="1324"/>
      <c r="EQ656" s="1324"/>
      <c r="ER656" s="1324" t="e">
        <f t="shared" si="6"/>
        <v>#VALUE!</v>
      </c>
      <c r="ES656" s="1324"/>
      <c r="ET656" s="1324"/>
      <c r="EU656" s="1324"/>
      <c r="EV656" s="1324"/>
      <c r="EW656" s="1324" t="e">
        <f t="shared" si="7"/>
        <v>#VALUE!</v>
      </c>
      <c r="EX656" s="1324"/>
      <c r="EY656" s="1324"/>
      <c r="EZ656" s="1324"/>
      <c r="FA656" s="1324"/>
    </row>
    <row r="657" spans="1:157" ht="13" customHeight="1">
      <c r="A657" s="17"/>
      <c r="B657" t="s">
        <v>1421</v>
      </c>
      <c r="N657" s="1367" t="s">
        <v>847</v>
      </c>
      <c r="O657" s="1367"/>
      <c r="T657" s="17"/>
      <c r="U657" t="s">
        <v>1421</v>
      </c>
      <c r="AG657" s="1367" t="s">
        <v>694</v>
      </c>
      <c r="AH657" s="1367"/>
      <c r="AZ657" s="2"/>
      <c r="BA657" s="2"/>
      <c r="BB657" s="2"/>
      <c r="BC657" s="2"/>
      <c r="BD657" s="2"/>
      <c r="BE657" s="2"/>
      <c r="BF657" s="2"/>
      <c r="BG657" s="2"/>
      <c r="BH657" s="2"/>
      <c r="BI657" s="2"/>
      <c r="BJ657" s="2"/>
      <c r="BK657" s="2"/>
      <c r="BL657" s="2"/>
      <c r="BM657" s="2"/>
      <c r="DX657" s="1324" t="e">
        <f t="shared" si="2"/>
        <v>#VALUE!</v>
      </c>
      <c r="DY657" s="1324"/>
      <c r="DZ657" s="1324"/>
      <c r="EA657" s="1324"/>
      <c r="EB657" s="1324"/>
      <c r="EC657" s="1324" t="e">
        <f t="shared" si="3"/>
        <v>#VALUE!</v>
      </c>
      <c r="ED657" s="1324"/>
      <c r="EE657" s="1324"/>
      <c r="EF657" s="1324"/>
      <c r="EG657" s="1324"/>
      <c r="EH657" s="1324" t="e">
        <f t="shared" si="4"/>
        <v>#VALUE!</v>
      </c>
      <c r="EI657" s="1324"/>
      <c r="EJ657" s="1324"/>
      <c r="EK657" s="1324"/>
      <c r="EL657" s="1324"/>
      <c r="EM657" s="1324" t="e">
        <f t="shared" si="5"/>
        <v>#VALUE!</v>
      </c>
      <c r="EN657" s="1324"/>
      <c r="EO657" s="1324"/>
      <c r="EP657" s="1324"/>
      <c r="EQ657" s="1324"/>
      <c r="ER657" s="1324" t="e">
        <f t="shared" si="6"/>
        <v>#VALUE!</v>
      </c>
      <c r="ES657" s="1324"/>
      <c r="ET657" s="1324"/>
      <c r="EU657" s="1324"/>
      <c r="EV657" s="1324"/>
      <c r="EW657" s="1324" t="e">
        <f t="shared" si="7"/>
        <v>#VALUE!</v>
      </c>
      <c r="EX657" s="1324"/>
      <c r="EY657" s="1324"/>
      <c r="EZ657" s="1324"/>
      <c r="FA657" s="1324"/>
    </row>
    <row r="658" spans="1:157" ht="13" customHeight="1">
      <c r="A658" s="17"/>
      <c r="T658" s="17"/>
      <c r="AZ658" s="2"/>
      <c r="BA658" s="2"/>
      <c r="BB658" s="2"/>
      <c r="BC658" s="2"/>
      <c r="BD658" s="2"/>
      <c r="BE658" s="2"/>
      <c r="BF658" s="2"/>
      <c r="BG658" s="2"/>
      <c r="BH658" s="2"/>
      <c r="BI658" s="2"/>
      <c r="BJ658" s="2"/>
      <c r="BK658" s="2"/>
      <c r="BL658" s="2"/>
      <c r="BM658" s="2"/>
      <c r="DX658" s="1324" t="e">
        <f t="shared" si="2"/>
        <v>#VALUE!</v>
      </c>
      <c r="DY658" s="1324"/>
      <c r="DZ658" s="1324"/>
      <c r="EA658" s="1324"/>
      <c r="EB658" s="1324"/>
      <c r="EC658" s="1324" t="e">
        <f t="shared" si="3"/>
        <v>#VALUE!</v>
      </c>
      <c r="ED658" s="1324"/>
      <c r="EE658" s="1324"/>
      <c r="EF658" s="1324"/>
      <c r="EG658" s="1324"/>
      <c r="EH658" s="1324" t="e">
        <f t="shared" si="4"/>
        <v>#VALUE!</v>
      </c>
      <c r="EI658" s="1324"/>
      <c r="EJ658" s="1324"/>
      <c r="EK658" s="1324"/>
      <c r="EL658" s="1324"/>
      <c r="EM658" s="1324" t="e">
        <f t="shared" si="5"/>
        <v>#VALUE!</v>
      </c>
      <c r="EN658" s="1324"/>
      <c r="EO658" s="1324"/>
      <c r="EP658" s="1324"/>
      <c r="EQ658" s="1324"/>
      <c r="ER658" s="1324" t="e">
        <f t="shared" si="6"/>
        <v>#VALUE!</v>
      </c>
      <c r="ES658" s="1324"/>
      <c r="ET658" s="1324"/>
      <c r="EU658" s="1324"/>
      <c r="EV658" s="1324"/>
      <c r="EW658" s="1324" t="e">
        <f t="shared" si="7"/>
        <v>#VALUE!</v>
      </c>
      <c r="EX658" s="1324"/>
      <c r="EY658" s="1324"/>
      <c r="EZ658" s="1324"/>
      <c r="FA658" s="1324"/>
    </row>
    <row r="659" spans="1:157" ht="13" customHeight="1">
      <c r="A659" s="36" t="s">
        <v>86</v>
      </c>
      <c r="B659" t="s">
        <v>1412</v>
      </c>
      <c r="G659" s="1435">
        <f>C631</f>
        <v>0</v>
      </c>
      <c r="H659" s="1435"/>
      <c r="I659" s="1435"/>
      <c r="J659" s="1435"/>
      <c r="K659" s="1435"/>
      <c r="L659" s="1435"/>
      <c r="M659" s="1435"/>
      <c r="N659" s="1435"/>
      <c r="O659" s="1435"/>
      <c r="P659" s="1435"/>
      <c r="Q659" s="1435"/>
      <c r="R659" s="1435"/>
      <c r="T659" s="36" t="s">
        <v>1404</v>
      </c>
      <c r="U659" t="s">
        <v>1412</v>
      </c>
      <c r="Z659" s="1435">
        <f>C632</f>
        <v>0</v>
      </c>
      <c r="AA659" s="1435"/>
      <c r="AB659" s="1435"/>
      <c r="AC659" s="1435"/>
      <c r="AD659" s="1435"/>
      <c r="AE659" s="1435"/>
      <c r="AF659" s="1435"/>
      <c r="AG659" s="1435"/>
      <c r="AH659" s="1435"/>
      <c r="AI659" s="1435"/>
      <c r="AJ659" s="1435"/>
      <c r="AK659" s="1435"/>
      <c r="AZ659" s="2"/>
      <c r="BA659" s="2"/>
      <c r="BB659" s="2"/>
      <c r="BC659" s="2"/>
      <c r="BD659" s="2"/>
      <c r="BE659" s="2"/>
      <c r="BF659" s="2"/>
      <c r="BG659" s="2"/>
      <c r="BH659" s="2"/>
      <c r="BI659" s="2"/>
      <c r="BJ659" s="2"/>
      <c r="BK659" s="2"/>
      <c r="BL659" s="2"/>
      <c r="BM659" s="2"/>
      <c r="DX659" s="1324" t="e">
        <f t="shared" si="2"/>
        <v>#VALUE!</v>
      </c>
      <c r="DY659" s="1324"/>
      <c r="DZ659" s="1324"/>
      <c r="EA659" s="1324"/>
      <c r="EB659" s="1324"/>
      <c r="EC659" s="1324" t="e">
        <f t="shared" si="3"/>
        <v>#VALUE!</v>
      </c>
      <c r="ED659" s="1324"/>
      <c r="EE659" s="1324"/>
      <c r="EF659" s="1324"/>
      <c r="EG659" s="1324"/>
      <c r="EH659" s="1324" t="e">
        <f t="shared" si="4"/>
        <v>#VALUE!</v>
      </c>
      <c r="EI659" s="1324"/>
      <c r="EJ659" s="1324"/>
      <c r="EK659" s="1324"/>
      <c r="EL659" s="1324"/>
      <c r="EM659" s="1324" t="e">
        <f t="shared" si="5"/>
        <v>#VALUE!</v>
      </c>
      <c r="EN659" s="1324"/>
      <c r="EO659" s="1324"/>
      <c r="EP659" s="1324"/>
      <c r="EQ659" s="1324"/>
      <c r="ER659" s="1324" t="e">
        <f t="shared" si="6"/>
        <v>#VALUE!</v>
      </c>
      <c r="ES659" s="1324"/>
      <c r="ET659" s="1324"/>
      <c r="EU659" s="1324"/>
      <c r="EV659" s="1324"/>
      <c r="EW659" s="1324" t="e">
        <f t="shared" si="7"/>
        <v>#VALUE!</v>
      </c>
      <c r="EX659" s="1324"/>
      <c r="EY659" s="1324"/>
      <c r="EZ659" s="1324"/>
      <c r="FA659" s="1324"/>
    </row>
    <row r="660" spans="1:157" ht="13" customHeight="1">
      <c r="A660" s="17"/>
      <c r="B660" t="s">
        <v>1065</v>
      </c>
      <c r="G660" s="1359"/>
      <c r="H660" s="1359"/>
      <c r="I660" s="1359"/>
      <c r="J660" s="1359"/>
      <c r="K660" s="1359"/>
      <c r="L660" s="1359"/>
      <c r="M660" s="1359"/>
      <c r="N660" s="1359"/>
      <c r="O660" s="1359"/>
      <c r="P660" s="1359"/>
      <c r="Q660" s="1359"/>
      <c r="R660" s="1359"/>
      <c r="T660" s="17"/>
      <c r="U660" t="s">
        <v>1065</v>
      </c>
      <c r="Z660" s="1359"/>
      <c r="AA660" s="1359"/>
      <c r="AB660" s="1359"/>
      <c r="AC660" s="1359"/>
      <c r="AD660" s="1359"/>
      <c r="AE660" s="1359"/>
      <c r="AF660" s="1359"/>
      <c r="AG660" s="1359"/>
      <c r="AH660" s="1359"/>
      <c r="AI660" s="1359"/>
      <c r="AJ660" s="1359"/>
      <c r="AK660" s="1359"/>
      <c r="AZ660" s="2"/>
      <c r="BA660" s="2"/>
      <c r="BB660" s="2"/>
      <c r="BC660" s="2"/>
      <c r="BD660" s="2"/>
      <c r="BE660" s="2"/>
      <c r="BF660" s="2"/>
      <c r="BG660" s="2"/>
      <c r="BH660" s="2"/>
      <c r="BI660" s="2"/>
      <c r="BJ660" s="2"/>
      <c r="BK660" s="2"/>
      <c r="BL660" s="2"/>
      <c r="BM660" s="2"/>
      <c r="DX660" s="1324" t="e">
        <f t="shared" si="2"/>
        <v>#VALUE!</v>
      </c>
      <c r="DY660" s="1324"/>
      <c r="DZ660" s="1324"/>
      <c r="EA660" s="1324"/>
      <c r="EB660" s="1324"/>
      <c r="EC660" s="1324" t="e">
        <f t="shared" si="3"/>
        <v>#VALUE!</v>
      </c>
      <c r="ED660" s="1324"/>
      <c r="EE660" s="1324"/>
      <c r="EF660" s="1324"/>
      <c r="EG660" s="1324"/>
      <c r="EH660" s="1324" t="e">
        <f t="shared" si="4"/>
        <v>#VALUE!</v>
      </c>
      <c r="EI660" s="1324"/>
      <c r="EJ660" s="1324"/>
      <c r="EK660" s="1324"/>
      <c r="EL660" s="1324"/>
      <c r="EM660" s="1324" t="e">
        <f t="shared" si="5"/>
        <v>#VALUE!</v>
      </c>
      <c r="EN660" s="1324"/>
      <c r="EO660" s="1324"/>
      <c r="EP660" s="1324"/>
      <c r="EQ660" s="1324"/>
      <c r="ER660" s="1324" t="e">
        <f t="shared" si="6"/>
        <v>#VALUE!</v>
      </c>
      <c r="ES660" s="1324"/>
      <c r="ET660" s="1324"/>
      <c r="EU660" s="1324"/>
      <c r="EV660" s="1324"/>
      <c r="EW660" s="1324" t="e">
        <f t="shared" si="7"/>
        <v>#VALUE!</v>
      </c>
      <c r="EX660" s="1324"/>
      <c r="EY660" s="1324"/>
      <c r="EZ660" s="1324"/>
      <c r="FA660" s="1324"/>
    </row>
    <row r="661" spans="1:157" ht="13" customHeight="1">
      <c r="A661" s="17"/>
      <c r="B661" t="s">
        <v>932</v>
      </c>
      <c r="G661" s="1359"/>
      <c r="H661" s="1359"/>
      <c r="I661" s="1359"/>
      <c r="J661" s="1359"/>
      <c r="K661" s="1359"/>
      <c r="L661" s="1359"/>
      <c r="M661" s="1359"/>
      <c r="N661" s="1359"/>
      <c r="O661" s="1359"/>
      <c r="P661" s="1359"/>
      <c r="Q661" s="1359"/>
      <c r="R661" s="1359"/>
      <c r="T661" s="17"/>
      <c r="U661" t="s">
        <v>932</v>
      </c>
      <c r="Z661" s="1326"/>
      <c r="AA661" s="1326"/>
      <c r="AB661" s="1326"/>
      <c r="AC661" s="1326"/>
      <c r="AD661" s="1326"/>
      <c r="AE661" s="1326"/>
      <c r="AF661" s="1326"/>
      <c r="AG661" s="1326"/>
      <c r="AH661" s="1326"/>
      <c r="AI661" s="1326"/>
      <c r="AJ661" s="1326"/>
      <c r="AK661" s="1326"/>
      <c r="AZ661" s="2"/>
      <c r="BA661" s="2"/>
      <c r="BB661" s="2"/>
      <c r="BC661" s="2"/>
      <c r="BD661" s="2"/>
      <c r="BE661" s="2"/>
      <c r="BF661" s="2"/>
      <c r="BG661" s="2"/>
      <c r="BH661" s="2"/>
      <c r="BI661" s="2"/>
      <c r="BJ661" s="2"/>
      <c r="BK661" s="2"/>
      <c r="BL661" s="2"/>
      <c r="BM661" s="2"/>
      <c r="DX661" s="1324" t="e">
        <f t="shared" si="2"/>
        <v>#VALUE!</v>
      </c>
      <c r="DY661" s="1324"/>
      <c r="DZ661" s="1324"/>
      <c r="EA661" s="1324"/>
      <c r="EB661" s="1324"/>
      <c r="EC661" s="1324" t="e">
        <f t="shared" si="3"/>
        <v>#VALUE!</v>
      </c>
      <c r="ED661" s="1324"/>
      <c r="EE661" s="1324"/>
      <c r="EF661" s="1324"/>
      <c r="EG661" s="1324"/>
      <c r="EH661" s="1324" t="e">
        <f t="shared" si="4"/>
        <v>#VALUE!</v>
      </c>
      <c r="EI661" s="1324"/>
      <c r="EJ661" s="1324"/>
      <c r="EK661" s="1324"/>
      <c r="EL661" s="1324"/>
      <c r="EM661" s="1324" t="e">
        <f t="shared" si="5"/>
        <v>#VALUE!</v>
      </c>
      <c r="EN661" s="1324"/>
      <c r="EO661" s="1324"/>
      <c r="EP661" s="1324"/>
      <c r="EQ661" s="1324"/>
      <c r="ER661" s="1324" t="e">
        <f t="shared" si="6"/>
        <v>#VALUE!</v>
      </c>
      <c r="ES661" s="1324"/>
      <c r="ET661" s="1324"/>
      <c r="EU661" s="1324"/>
      <c r="EV661" s="1324"/>
      <c r="EW661" s="1324" t="e">
        <f t="shared" si="7"/>
        <v>#VALUE!</v>
      </c>
      <c r="EX661" s="1324"/>
      <c r="EY661" s="1324"/>
      <c r="EZ661" s="1324"/>
      <c r="FA661" s="1324"/>
    </row>
    <row r="662" spans="1:157" ht="13" customHeight="1">
      <c r="A662" s="17"/>
      <c r="B662" t="s">
        <v>1414</v>
      </c>
      <c r="G662" s="1359"/>
      <c r="H662" s="1359"/>
      <c r="I662" s="1359"/>
      <c r="J662" s="1359"/>
      <c r="K662" s="1359"/>
      <c r="L662" s="1359"/>
      <c r="M662" s="1359"/>
      <c r="N662" s="1359"/>
      <c r="O662" s="1359"/>
      <c r="P662" s="1359"/>
      <c r="Q662" s="1359"/>
      <c r="R662" s="1359"/>
      <c r="T662" s="17"/>
      <c r="U662" t="s">
        <v>1414</v>
      </c>
      <c r="Z662" s="1326"/>
      <c r="AA662" s="1326"/>
      <c r="AB662" s="1326"/>
      <c r="AC662" s="1326"/>
      <c r="AD662" s="1326"/>
      <c r="AE662" s="1326"/>
      <c r="AF662" s="1326"/>
      <c r="AG662" s="1326"/>
      <c r="AH662" s="1326"/>
      <c r="AI662" s="1326"/>
      <c r="AJ662" s="1326"/>
      <c r="AK662" s="1326"/>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4" t="e">
        <f t="shared" si="2"/>
        <v>#VALUE!</v>
      </c>
      <c r="DY662" s="1324"/>
      <c r="DZ662" s="1324"/>
      <c r="EA662" s="1324"/>
      <c r="EB662" s="1324"/>
      <c r="EC662" s="1324" t="e">
        <f t="shared" si="3"/>
        <v>#VALUE!</v>
      </c>
      <c r="ED662" s="1324"/>
      <c r="EE662" s="1324"/>
      <c r="EF662" s="1324"/>
      <c r="EG662" s="1324"/>
      <c r="EH662" s="1324" t="e">
        <f t="shared" si="4"/>
        <v>#VALUE!</v>
      </c>
      <c r="EI662" s="1324"/>
      <c r="EJ662" s="1324"/>
      <c r="EK662" s="1324"/>
      <c r="EL662" s="1324"/>
      <c r="EM662" s="1324" t="e">
        <f t="shared" si="5"/>
        <v>#VALUE!</v>
      </c>
      <c r="EN662" s="1324"/>
      <c r="EO662" s="1324"/>
      <c r="EP662" s="1324"/>
      <c r="EQ662" s="1324"/>
      <c r="ER662" s="1324" t="e">
        <f t="shared" si="6"/>
        <v>#VALUE!</v>
      </c>
      <c r="ES662" s="1324"/>
      <c r="ET662" s="1324"/>
      <c r="EU662" s="1324"/>
      <c r="EV662" s="1324"/>
      <c r="EW662" s="1324" t="e">
        <f t="shared" si="7"/>
        <v>#VALUE!</v>
      </c>
      <c r="EX662" s="1324"/>
      <c r="EY662" s="1324"/>
      <c r="EZ662" s="1324"/>
      <c r="FA662" s="1324"/>
    </row>
    <row r="663" spans="1:157" ht="13" customHeight="1">
      <c r="A663" s="17"/>
      <c r="B663" t="s">
        <v>825</v>
      </c>
      <c r="G663" s="1439"/>
      <c r="H663" s="1439"/>
      <c r="I663" s="1439"/>
      <c r="J663" s="1439"/>
      <c r="K663" s="1439"/>
      <c r="L663" s="1439"/>
      <c r="O663" s="819" t="s">
        <v>1074</v>
      </c>
      <c r="P663" s="1423"/>
      <c r="Q663" s="1423"/>
      <c r="R663" s="1423"/>
      <c r="T663" s="17"/>
      <c r="U663" t="s">
        <v>825</v>
      </c>
      <c r="Z663" s="1439"/>
      <c r="AA663" s="1439"/>
      <c r="AB663" s="1439"/>
      <c r="AC663" s="1439"/>
      <c r="AD663" s="1439"/>
      <c r="AE663" s="1439"/>
      <c r="AH663" s="819" t="s">
        <v>1074</v>
      </c>
      <c r="AI663" s="1423"/>
      <c r="AJ663" s="1423"/>
      <c r="AK663" s="1423"/>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4" t="e">
        <f t="shared" si="2"/>
        <v>#VALUE!</v>
      </c>
      <c r="DY663" s="1324"/>
      <c r="DZ663" s="1324"/>
      <c r="EA663" s="1324"/>
      <c r="EB663" s="1324"/>
      <c r="EC663" s="1324" t="e">
        <f t="shared" si="3"/>
        <v>#VALUE!</v>
      </c>
      <c r="ED663" s="1324"/>
      <c r="EE663" s="1324"/>
      <c r="EF663" s="1324"/>
      <c r="EG663" s="1324"/>
      <c r="EH663" s="1324" t="e">
        <f t="shared" si="4"/>
        <v>#VALUE!</v>
      </c>
      <c r="EI663" s="1324"/>
      <c r="EJ663" s="1324"/>
      <c r="EK663" s="1324"/>
      <c r="EL663" s="1324"/>
      <c r="EM663" s="1324" t="e">
        <f t="shared" si="5"/>
        <v>#VALUE!</v>
      </c>
      <c r="EN663" s="1324"/>
      <c r="EO663" s="1324"/>
      <c r="EP663" s="1324"/>
      <c r="EQ663" s="1324"/>
      <c r="ER663" s="1324" t="e">
        <f t="shared" si="6"/>
        <v>#VALUE!</v>
      </c>
      <c r="ES663" s="1324"/>
      <c r="ET663" s="1324"/>
      <c r="EU663" s="1324"/>
      <c r="EV663" s="1324"/>
      <c r="EW663" s="1324" t="e">
        <f t="shared" si="7"/>
        <v>#VALUE!</v>
      </c>
      <c r="EX663" s="1324"/>
      <c r="EY663" s="1324"/>
      <c r="EZ663" s="1324"/>
      <c r="FA663" s="1324"/>
    </row>
    <row r="664" spans="1:157" ht="13" customHeight="1">
      <c r="A664" s="17"/>
      <c r="B664" t="s">
        <v>1417</v>
      </c>
      <c r="H664" s="1359"/>
      <c r="I664" s="1359"/>
      <c r="J664" s="1359"/>
      <c r="K664" s="1359"/>
      <c r="L664" s="1359"/>
      <c r="M664" s="1359"/>
      <c r="N664" s="1359"/>
      <c r="O664" s="1359"/>
      <c r="P664" s="1359"/>
      <c r="Q664" s="1359"/>
      <c r="R664" s="1359"/>
      <c r="T664" s="17"/>
      <c r="U664" t="s">
        <v>1417</v>
      </c>
      <c r="AA664" s="1359"/>
      <c r="AB664" s="1359"/>
      <c r="AC664" s="1359"/>
      <c r="AD664" s="1359"/>
      <c r="AE664" s="1359"/>
      <c r="AF664" s="1359"/>
      <c r="AG664" s="1359"/>
      <c r="AH664" s="1359"/>
      <c r="AI664" s="1359"/>
      <c r="AJ664" s="1359"/>
      <c r="AK664" s="1359"/>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4" t="e">
        <f t="shared" si="2"/>
        <v>#VALUE!</v>
      </c>
      <c r="DY664" s="1324"/>
      <c r="DZ664" s="1324"/>
      <c r="EA664" s="1324"/>
      <c r="EB664" s="1324"/>
      <c r="EC664" s="1324" t="e">
        <f t="shared" si="3"/>
        <v>#VALUE!</v>
      </c>
      <c r="ED664" s="1324"/>
      <c r="EE664" s="1324"/>
      <c r="EF664" s="1324"/>
      <c r="EG664" s="1324"/>
      <c r="EH664" s="1324" t="e">
        <f t="shared" si="4"/>
        <v>#VALUE!</v>
      </c>
      <c r="EI664" s="1324"/>
      <c r="EJ664" s="1324"/>
      <c r="EK664" s="1324"/>
      <c r="EL664" s="1324"/>
      <c r="EM664" s="1324" t="e">
        <f t="shared" si="5"/>
        <v>#VALUE!</v>
      </c>
      <c r="EN664" s="1324"/>
      <c r="EO664" s="1324"/>
      <c r="EP664" s="1324"/>
      <c r="EQ664" s="1324"/>
      <c r="ER664" s="1324" t="e">
        <f t="shared" si="6"/>
        <v>#VALUE!</v>
      </c>
      <c r="ES664" s="1324"/>
      <c r="ET664" s="1324"/>
      <c r="EU664" s="1324"/>
      <c r="EV664" s="1324"/>
      <c r="EW664" s="1324" t="e">
        <f t="shared" si="7"/>
        <v>#VALUE!</v>
      </c>
      <c r="EX664" s="1324"/>
      <c r="EY664" s="1324"/>
      <c r="EZ664" s="1324"/>
      <c r="FA664" s="1324"/>
    </row>
    <row r="665" spans="1:157" ht="13" customHeight="1">
      <c r="A665" s="17"/>
      <c r="B665" t="s">
        <v>1421</v>
      </c>
      <c r="N665" s="1367" t="s">
        <v>694</v>
      </c>
      <c r="O665" s="1367"/>
      <c r="T665" s="17"/>
      <c r="U665" t="s">
        <v>1421</v>
      </c>
      <c r="AG665" s="1367" t="s">
        <v>694</v>
      </c>
      <c r="AH665" s="1367"/>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4" t="e">
        <f t="shared" si="2"/>
        <v>#VALUE!</v>
      </c>
      <c r="DY665" s="1324"/>
      <c r="DZ665" s="1324"/>
      <c r="EA665" s="1324"/>
      <c r="EB665" s="1324"/>
      <c r="EC665" s="1324" t="e">
        <f t="shared" si="3"/>
        <v>#VALUE!</v>
      </c>
      <c r="ED665" s="1324"/>
      <c r="EE665" s="1324"/>
      <c r="EF665" s="1324"/>
      <c r="EG665" s="1324"/>
      <c r="EH665" s="1324" t="e">
        <f t="shared" si="4"/>
        <v>#VALUE!</v>
      </c>
      <c r="EI665" s="1324"/>
      <c r="EJ665" s="1324"/>
      <c r="EK665" s="1324"/>
      <c r="EL665" s="1324"/>
      <c r="EM665" s="1324" t="e">
        <f t="shared" si="5"/>
        <v>#VALUE!</v>
      </c>
      <c r="EN665" s="1324"/>
      <c r="EO665" s="1324"/>
      <c r="EP665" s="1324"/>
      <c r="EQ665" s="1324"/>
      <c r="ER665" s="1324" t="e">
        <f t="shared" si="6"/>
        <v>#VALUE!</v>
      </c>
      <c r="ES665" s="1324"/>
      <c r="ET665" s="1324"/>
      <c r="EU665" s="1324"/>
      <c r="EV665" s="1324"/>
      <c r="EW665" s="1324" t="e">
        <f t="shared" si="7"/>
        <v>#VALUE!</v>
      </c>
      <c r="EX665" s="1324"/>
      <c r="EY665" s="1324"/>
      <c r="EZ665" s="1324"/>
      <c r="FA665" s="1324"/>
    </row>
    <row r="666" spans="1:157" ht="13"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4" t="e">
        <f t="shared" si="2"/>
        <v>#VALUE!</v>
      </c>
      <c r="DY666" s="1324"/>
      <c r="DZ666" s="1324"/>
      <c r="EA666" s="1324"/>
      <c r="EB666" s="1324"/>
      <c r="EC666" s="1324" t="e">
        <f t="shared" si="3"/>
        <v>#VALUE!</v>
      </c>
      <c r="ED666" s="1324"/>
      <c r="EE666" s="1324"/>
      <c r="EF666" s="1324"/>
      <c r="EG666" s="1324"/>
      <c r="EH666" s="1324" t="e">
        <f t="shared" si="4"/>
        <v>#VALUE!</v>
      </c>
      <c r="EI666" s="1324"/>
      <c r="EJ666" s="1324"/>
      <c r="EK666" s="1324"/>
      <c r="EL666" s="1324"/>
      <c r="EM666" s="1324" t="e">
        <f t="shared" si="5"/>
        <v>#VALUE!</v>
      </c>
      <c r="EN666" s="1324"/>
      <c r="EO666" s="1324"/>
      <c r="EP666" s="1324"/>
      <c r="EQ666" s="1324"/>
      <c r="ER666" s="1324" t="e">
        <f t="shared" si="6"/>
        <v>#VALUE!</v>
      </c>
      <c r="ES666" s="1324"/>
      <c r="ET666" s="1324"/>
      <c r="EU666" s="1324"/>
      <c r="EV666" s="1324"/>
      <c r="EW666" s="1324" t="e">
        <f t="shared" si="7"/>
        <v>#VALUE!</v>
      </c>
      <c r="EX666" s="1324"/>
      <c r="EY666" s="1324"/>
      <c r="EZ666" s="1324"/>
      <c r="FA666" s="1324"/>
    </row>
    <row r="667" spans="1:157" ht="13" customHeight="1">
      <c r="A667" s="36" t="s">
        <v>1405</v>
      </c>
      <c r="B667" t="s">
        <v>1412</v>
      </c>
      <c r="G667" s="1435">
        <f>C633</f>
        <v>0</v>
      </c>
      <c r="H667" s="1435"/>
      <c r="I667" s="1435"/>
      <c r="J667" s="1435"/>
      <c r="K667" s="1435"/>
      <c r="L667" s="1435"/>
      <c r="M667" s="1435"/>
      <c r="N667" s="1435"/>
      <c r="O667" s="1435"/>
      <c r="P667" s="1435"/>
      <c r="Q667" s="1435"/>
      <c r="R667" s="1435"/>
      <c r="T667" s="36" t="s">
        <v>1406</v>
      </c>
      <c r="U667" t="s">
        <v>1412</v>
      </c>
      <c r="Z667" s="1435">
        <f>C634</f>
        <v>0</v>
      </c>
      <c r="AA667" s="1435"/>
      <c r="AB667" s="1435"/>
      <c r="AC667" s="1435"/>
      <c r="AD667" s="1435"/>
      <c r="AE667" s="1435"/>
      <c r="AF667" s="1435"/>
      <c r="AG667" s="1435"/>
      <c r="AH667" s="1435"/>
      <c r="AI667" s="1435"/>
      <c r="AJ667" s="1435"/>
      <c r="AK667" s="1435"/>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4" t="e">
        <f t="shared" si="2"/>
        <v>#VALUE!</v>
      </c>
      <c r="DY667" s="1324"/>
      <c r="DZ667" s="1324"/>
      <c r="EA667" s="1324"/>
      <c r="EB667" s="1324"/>
      <c r="EC667" s="1324" t="e">
        <f t="shared" si="3"/>
        <v>#VALUE!</v>
      </c>
      <c r="ED667" s="1324"/>
      <c r="EE667" s="1324"/>
      <c r="EF667" s="1324"/>
      <c r="EG667" s="1324"/>
      <c r="EH667" s="1324" t="e">
        <f t="shared" si="4"/>
        <v>#VALUE!</v>
      </c>
      <c r="EI667" s="1324"/>
      <c r="EJ667" s="1324"/>
      <c r="EK667" s="1324"/>
      <c r="EL667" s="1324"/>
      <c r="EM667" s="1324" t="e">
        <f t="shared" si="5"/>
        <v>#VALUE!</v>
      </c>
      <c r="EN667" s="1324"/>
      <c r="EO667" s="1324"/>
      <c r="EP667" s="1324"/>
      <c r="EQ667" s="1324"/>
      <c r="ER667" s="1324" t="e">
        <f t="shared" si="6"/>
        <v>#VALUE!</v>
      </c>
      <c r="ES667" s="1324"/>
      <c r="ET667" s="1324"/>
      <c r="EU667" s="1324"/>
      <c r="EV667" s="1324"/>
      <c r="EW667" s="1324" t="e">
        <f t="shared" si="7"/>
        <v>#VALUE!</v>
      </c>
      <c r="EX667" s="1324"/>
      <c r="EY667" s="1324"/>
      <c r="EZ667" s="1324"/>
      <c r="FA667" s="1324"/>
    </row>
    <row r="668" spans="1:157" ht="13" customHeight="1">
      <c r="A668" s="17"/>
      <c r="B668" t="s">
        <v>1065</v>
      </c>
      <c r="G668" s="1359"/>
      <c r="H668" s="1359"/>
      <c r="I668" s="1359"/>
      <c r="J668" s="1359"/>
      <c r="K668" s="1359"/>
      <c r="L668" s="1359"/>
      <c r="M668" s="1359"/>
      <c r="N668" s="1359"/>
      <c r="O668" s="1359"/>
      <c r="P668" s="1359"/>
      <c r="Q668" s="1359"/>
      <c r="R668" s="1359"/>
      <c r="T668" s="17"/>
      <c r="U668" t="s">
        <v>1065</v>
      </c>
      <c r="Z668" s="1359"/>
      <c r="AA668" s="1359"/>
      <c r="AB668" s="1359"/>
      <c r="AC668" s="1359"/>
      <c r="AD668" s="1359"/>
      <c r="AE668" s="1359"/>
      <c r="AF668" s="1359"/>
      <c r="AG668" s="1359"/>
      <c r="AH668" s="1359"/>
      <c r="AI668" s="1359"/>
      <c r="AJ668" s="1359"/>
      <c r="AK668" s="1359"/>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4" t="e">
        <f t="shared" si="2"/>
        <v>#VALUE!</v>
      </c>
      <c r="DY668" s="1324"/>
      <c r="DZ668" s="1324"/>
      <c r="EA668" s="1324"/>
      <c r="EB668" s="1324"/>
      <c r="EC668" s="1324" t="e">
        <f t="shared" si="3"/>
        <v>#VALUE!</v>
      </c>
      <c r="ED668" s="1324"/>
      <c r="EE668" s="1324"/>
      <c r="EF668" s="1324"/>
      <c r="EG668" s="1324"/>
      <c r="EH668" s="1324" t="e">
        <f t="shared" si="4"/>
        <v>#VALUE!</v>
      </c>
      <c r="EI668" s="1324"/>
      <c r="EJ668" s="1324"/>
      <c r="EK668" s="1324"/>
      <c r="EL668" s="1324"/>
      <c r="EM668" s="1324" t="e">
        <f t="shared" si="5"/>
        <v>#VALUE!</v>
      </c>
      <c r="EN668" s="1324"/>
      <c r="EO668" s="1324"/>
      <c r="EP668" s="1324"/>
      <c r="EQ668" s="1324"/>
      <c r="ER668" s="1324" t="e">
        <f t="shared" si="6"/>
        <v>#VALUE!</v>
      </c>
      <c r="ES668" s="1324"/>
      <c r="ET668" s="1324"/>
      <c r="EU668" s="1324"/>
      <c r="EV668" s="1324"/>
      <c r="EW668" s="1324" t="e">
        <f t="shared" si="7"/>
        <v>#VALUE!</v>
      </c>
      <c r="EX668" s="1324"/>
      <c r="EY668" s="1324"/>
      <c r="EZ668" s="1324"/>
      <c r="FA668" s="1324"/>
    </row>
    <row r="669" spans="1:157" ht="13" customHeight="1">
      <c r="A669" s="17"/>
      <c r="B669" t="s">
        <v>932</v>
      </c>
      <c r="G669" s="1359"/>
      <c r="H669" s="1359"/>
      <c r="I669" s="1359"/>
      <c r="J669" s="1359"/>
      <c r="K669" s="1359"/>
      <c r="L669" s="1359"/>
      <c r="M669" s="1359"/>
      <c r="N669" s="1359"/>
      <c r="O669" s="1359"/>
      <c r="P669" s="1359"/>
      <c r="Q669" s="1359"/>
      <c r="R669" s="1359"/>
      <c r="T669" s="17"/>
      <c r="U669" t="s">
        <v>932</v>
      </c>
      <c r="Z669" s="1326"/>
      <c r="AA669" s="1326"/>
      <c r="AB669" s="1326"/>
      <c r="AC669" s="1326"/>
      <c r="AD669" s="1326"/>
      <c r="AE669" s="1326"/>
      <c r="AF669" s="1326"/>
      <c r="AG669" s="1326"/>
      <c r="AH669" s="1326"/>
      <c r="AI669" s="1326"/>
      <c r="AJ669" s="1326"/>
      <c r="AK669" s="1326"/>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4" t="e">
        <f t="shared" si="2"/>
        <v>#VALUE!</v>
      </c>
      <c r="DY669" s="1324"/>
      <c r="DZ669" s="1324"/>
      <c r="EA669" s="1324"/>
      <c r="EB669" s="1324"/>
      <c r="EC669" s="1324" t="e">
        <f t="shared" si="3"/>
        <v>#VALUE!</v>
      </c>
      <c r="ED669" s="1324"/>
      <c r="EE669" s="1324"/>
      <c r="EF669" s="1324"/>
      <c r="EG669" s="1324"/>
      <c r="EH669" s="1324" t="e">
        <f t="shared" si="4"/>
        <v>#VALUE!</v>
      </c>
      <c r="EI669" s="1324"/>
      <c r="EJ669" s="1324"/>
      <c r="EK669" s="1324"/>
      <c r="EL669" s="1324"/>
      <c r="EM669" s="1324" t="e">
        <f t="shared" si="5"/>
        <v>#VALUE!</v>
      </c>
      <c r="EN669" s="1324"/>
      <c r="EO669" s="1324"/>
      <c r="EP669" s="1324"/>
      <c r="EQ669" s="1324"/>
      <c r="ER669" s="1324" t="e">
        <f t="shared" si="6"/>
        <v>#VALUE!</v>
      </c>
      <c r="ES669" s="1324"/>
      <c r="ET669" s="1324"/>
      <c r="EU669" s="1324"/>
      <c r="EV669" s="1324"/>
      <c r="EW669" s="1324" t="e">
        <f t="shared" si="7"/>
        <v>#VALUE!</v>
      </c>
      <c r="EX669" s="1324"/>
      <c r="EY669" s="1324"/>
      <c r="EZ669" s="1324"/>
      <c r="FA669" s="1324"/>
    </row>
    <row r="670" spans="1:157" ht="13" customHeight="1">
      <c r="A670" s="17"/>
      <c r="B670" t="s">
        <v>1414</v>
      </c>
      <c r="G670" s="1359"/>
      <c r="H670" s="1359"/>
      <c r="I670" s="1359"/>
      <c r="J670" s="1359"/>
      <c r="K670" s="1359"/>
      <c r="L670" s="1359"/>
      <c r="M670" s="1359"/>
      <c r="N670" s="1359"/>
      <c r="O670" s="1359"/>
      <c r="P670" s="1359"/>
      <c r="Q670" s="1359"/>
      <c r="R670" s="1359"/>
      <c r="T670" s="17"/>
      <c r="U670" t="s">
        <v>1414</v>
      </c>
      <c r="Z670" s="1326"/>
      <c r="AA670" s="1326"/>
      <c r="AB670" s="1326"/>
      <c r="AC670" s="1326"/>
      <c r="AD670" s="1326"/>
      <c r="AE670" s="1326"/>
      <c r="AF670" s="1326"/>
      <c r="AG670" s="1326"/>
      <c r="AH670" s="1326"/>
      <c r="AI670" s="1326"/>
      <c r="AJ670" s="1326"/>
      <c r="AK670" s="1326"/>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4">
        <f>SUMIF(DX635:EB669,"&gt;0")</f>
        <v>0</v>
      </c>
      <c r="DY670" s="1324"/>
      <c r="DZ670" s="1324"/>
      <c r="EA670" s="1324"/>
      <c r="EB670" s="1324"/>
      <c r="EC670" s="1324">
        <f>SUMIF(EC635:EG669,"&gt;0")</f>
        <v>1239</v>
      </c>
      <c r="ED670" s="1324"/>
      <c r="EE670" s="1324"/>
      <c r="EF670" s="1324"/>
      <c r="EG670" s="1324"/>
      <c r="EH670" s="1324">
        <f>SUMIF(EH635:EL669,"&gt;0")</f>
        <v>1118.5</v>
      </c>
      <c r="EI670" s="1324"/>
      <c r="EJ670" s="1324"/>
      <c r="EK670" s="1324"/>
      <c r="EL670" s="1324"/>
      <c r="EM670" s="1324">
        <f>SUMIF(EM635:EQ669,"&gt;0")</f>
        <v>1012.9272727272727</v>
      </c>
      <c r="EN670" s="1324"/>
      <c r="EO670" s="1324"/>
      <c r="EP670" s="1324"/>
      <c r="EQ670" s="1324"/>
      <c r="ER670" s="1324">
        <f>SUMIF(ER635:EV669,"&gt;0")</f>
        <v>0</v>
      </c>
      <c r="ES670" s="1324"/>
      <c r="ET670" s="1324"/>
      <c r="EU670" s="1324"/>
      <c r="EV670" s="1324"/>
      <c r="EW670" s="1324">
        <f>SUMIF(EW635:FA669,"&gt;0")</f>
        <v>0</v>
      </c>
      <c r="EX670" s="1324"/>
      <c r="EY670" s="1324"/>
      <c r="EZ670" s="1324"/>
      <c r="FA670" s="1324"/>
    </row>
    <row r="671" spans="1:157" ht="13" customHeight="1">
      <c r="A671" s="17"/>
      <c r="B671" t="s">
        <v>825</v>
      </c>
      <c r="G671" s="1439"/>
      <c r="H671" s="1439"/>
      <c r="I671" s="1439"/>
      <c r="J671" s="1439"/>
      <c r="K671" s="1439"/>
      <c r="L671" s="1439"/>
      <c r="O671" s="819" t="s">
        <v>1074</v>
      </c>
      <c r="P671" s="1423"/>
      <c r="Q671" s="1423"/>
      <c r="R671" s="1423"/>
      <c r="T671" s="17"/>
      <c r="U671" t="s">
        <v>825</v>
      </c>
      <c r="Z671" s="1439"/>
      <c r="AA671" s="1439"/>
      <c r="AB671" s="1439"/>
      <c r="AC671" s="1439"/>
      <c r="AD671" s="1439"/>
      <c r="AE671" s="1439"/>
      <c r="AH671" s="819" t="s">
        <v>1074</v>
      </c>
      <c r="AI671" s="1423"/>
      <c r="AJ671" s="1423"/>
      <c r="AK671" s="1423"/>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7"/>
      <c r="B672" t="s">
        <v>1417</v>
      </c>
      <c r="H672" s="1359"/>
      <c r="I672" s="1359"/>
      <c r="J672" s="1359"/>
      <c r="K672" s="1359"/>
      <c r="L672" s="1359"/>
      <c r="M672" s="1359"/>
      <c r="N672" s="1359"/>
      <c r="O672" s="1359"/>
      <c r="P672" s="1359"/>
      <c r="Q672" s="1359"/>
      <c r="R672" s="1359"/>
      <c r="T672" s="17"/>
      <c r="U672" t="s">
        <v>1417</v>
      </c>
      <c r="AA672" s="1359"/>
      <c r="AB672" s="1359"/>
      <c r="AC672" s="1359"/>
      <c r="AD672" s="1359"/>
      <c r="AE672" s="1359"/>
      <c r="AF672" s="1359"/>
      <c r="AG672" s="1359"/>
      <c r="AH672" s="1359"/>
      <c r="AI672" s="1359"/>
      <c r="AJ672" s="1359"/>
      <c r="AK672" s="1359"/>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3" customHeight="1">
      <c r="A673" s="17"/>
      <c r="B673" t="s">
        <v>1421</v>
      </c>
      <c r="N673" s="1367" t="s">
        <v>694</v>
      </c>
      <c r="O673" s="1367"/>
      <c r="T673" s="17"/>
      <c r="U673" t="s">
        <v>1421</v>
      </c>
      <c r="AG673" s="1367" t="s">
        <v>694</v>
      </c>
      <c r="AH673" s="1367"/>
      <c r="AZ673" s="2"/>
    </row>
    <row r="674" spans="1:52" ht="13" customHeight="1">
      <c r="A674" s="17"/>
      <c r="T674" s="17"/>
      <c r="AZ674" s="2"/>
    </row>
    <row r="675" spans="1:52" ht="13" customHeight="1">
      <c r="A675" s="36" t="s">
        <v>1407</v>
      </c>
      <c r="B675" t="s">
        <v>1412</v>
      </c>
      <c r="G675" s="1435">
        <f>C635</f>
        <v>0</v>
      </c>
      <c r="H675" s="1435"/>
      <c r="I675" s="1435"/>
      <c r="J675" s="1435"/>
      <c r="K675" s="1435"/>
      <c r="L675" s="1435"/>
      <c r="M675" s="1435"/>
      <c r="N675" s="1435"/>
      <c r="O675" s="1435"/>
      <c r="P675" s="1435"/>
      <c r="Q675" s="1435"/>
      <c r="R675" s="1435"/>
      <c r="T675" s="36" t="s">
        <v>1408</v>
      </c>
      <c r="U675" t="s">
        <v>1412</v>
      </c>
      <c r="Z675" s="1435">
        <f>C636</f>
        <v>0</v>
      </c>
      <c r="AA675" s="1435"/>
      <c r="AB675" s="1435"/>
      <c r="AC675" s="1435"/>
      <c r="AD675" s="1435"/>
      <c r="AE675" s="1435"/>
      <c r="AF675" s="1435"/>
      <c r="AG675" s="1435"/>
      <c r="AH675" s="1435"/>
      <c r="AI675" s="1435"/>
      <c r="AJ675" s="1435"/>
      <c r="AK675" s="1435"/>
      <c r="AZ675" s="2"/>
    </row>
    <row r="676" spans="1:52" ht="13" customHeight="1">
      <c r="A676" s="17"/>
      <c r="B676" t="s">
        <v>1065</v>
      </c>
      <c r="G676" s="1359"/>
      <c r="H676" s="1359"/>
      <c r="I676" s="1359"/>
      <c r="J676" s="1359"/>
      <c r="K676" s="1359"/>
      <c r="L676" s="1359"/>
      <c r="M676" s="1359"/>
      <c r="N676" s="1359"/>
      <c r="O676" s="1359"/>
      <c r="P676" s="1359"/>
      <c r="Q676" s="1359"/>
      <c r="R676" s="1359"/>
      <c r="T676" s="17"/>
      <c r="U676" t="s">
        <v>1065</v>
      </c>
      <c r="Z676" s="1359"/>
      <c r="AA676" s="1359"/>
      <c r="AB676" s="1359"/>
      <c r="AC676" s="1359"/>
      <c r="AD676" s="1359"/>
      <c r="AE676" s="1359"/>
      <c r="AF676" s="1359"/>
      <c r="AG676" s="1359"/>
      <c r="AH676" s="1359"/>
      <c r="AI676" s="1359"/>
      <c r="AJ676" s="1359"/>
      <c r="AK676" s="1359"/>
      <c r="AZ676" s="2"/>
    </row>
    <row r="677" spans="1:52" ht="13" customHeight="1">
      <c r="A677" s="17"/>
      <c r="B677" t="s">
        <v>932</v>
      </c>
      <c r="G677" s="1359"/>
      <c r="H677" s="1359"/>
      <c r="I677" s="1359"/>
      <c r="J677" s="1359"/>
      <c r="K677" s="1359"/>
      <c r="L677" s="1359"/>
      <c r="M677" s="1359"/>
      <c r="N677" s="1359"/>
      <c r="O677" s="1359"/>
      <c r="P677" s="1359"/>
      <c r="Q677" s="1359"/>
      <c r="R677" s="1359"/>
      <c r="T677" s="17"/>
      <c r="U677" t="s">
        <v>932</v>
      </c>
      <c r="Z677" s="1326"/>
      <c r="AA677" s="1326"/>
      <c r="AB677" s="1326"/>
      <c r="AC677" s="1326"/>
      <c r="AD677" s="1326"/>
      <c r="AE677" s="1326"/>
      <c r="AF677" s="1326"/>
      <c r="AG677" s="1326"/>
      <c r="AH677" s="1326"/>
      <c r="AI677" s="1326"/>
      <c r="AJ677" s="1326"/>
      <c r="AK677" s="1326"/>
      <c r="AZ677" s="2"/>
    </row>
    <row r="678" spans="1:52" ht="13" customHeight="1">
      <c r="A678" s="17"/>
      <c r="B678" t="s">
        <v>1414</v>
      </c>
      <c r="G678" s="1359"/>
      <c r="H678" s="1359"/>
      <c r="I678" s="1359"/>
      <c r="J678" s="1359"/>
      <c r="K678" s="1359"/>
      <c r="L678" s="1359"/>
      <c r="M678" s="1359"/>
      <c r="N678" s="1359"/>
      <c r="O678" s="1359"/>
      <c r="P678" s="1359"/>
      <c r="Q678" s="1359"/>
      <c r="R678" s="1359"/>
      <c r="T678" s="17"/>
      <c r="U678" t="s">
        <v>1414</v>
      </c>
      <c r="Z678" s="1326"/>
      <c r="AA678" s="1326"/>
      <c r="AB678" s="1326"/>
      <c r="AC678" s="1326"/>
      <c r="AD678" s="1326"/>
      <c r="AE678" s="1326"/>
      <c r="AF678" s="1326"/>
      <c r="AG678" s="1326"/>
      <c r="AH678" s="1326"/>
      <c r="AI678" s="1326"/>
      <c r="AJ678" s="1326"/>
      <c r="AK678" s="1326"/>
      <c r="AZ678" s="2"/>
    </row>
    <row r="679" spans="1:52" ht="13" customHeight="1">
      <c r="A679" s="17"/>
      <c r="B679" t="s">
        <v>825</v>
      </c>
      <c r="G679" s="1439"/>
      <c r="H679" s="1439"/>
      <c r="I679" s="1439"/>
      <c r="J679" s="1439"/>
      <c r="K679" s="1439"/>
      <c r="L679" s="1439"/>
      <c r="O679" s="819" t="s">
        <v>1074</v>
      </c>
      <c r="P679" s="1423"/>
      <c r="Q679" s="1423"/>
      <c r="R679" s="1423"/>
      <c r="T679" s="17"/>
      <c r="U679" t="s">
        <v>825</v>
      </c>
      <c r="Z679" s="1439"/>
      <c r="AA679" s="1439"/>
      <c r="AB679" s="1439"/>
      <c r="AC679" s="1439"/>
      <c r="AD679" s="1439"/>
      <c r="AE679" s="1439"/>
      <c r="AH679" s="819" t="s">
        <v>1074</v>
      </c>
      <c r="AI679" s="1423"/>
      <c r="AJ679" s="1423"/>
      <c r="AK679" s="1423"/>
      <c r="AZ679" s="2"/>
    </row>
    <row r="680" spans="1:52" ht="13" customHeight="1">
      <c r="A680" s="17"/>
      <c r="B680" t="s">
        <v>1417</v>
      </c>
      <c r="H680" s="1359"/>
      <c r="I680" s="1359"/>
      <c r="J680" s="1359"/>
      <c r="K680" s="1359"/>
      <c r="L680" s="1359"/>
      <c r="M680" s="1359"/>
      <c r="N680" s="1359"/>
      <c r="O680" s="1359"/>
      <c r="P680" s="1359"/>
      <c r="Q680" s="1359"/>
      <c r="R680" s="1359"/>
      <c r="T680" s="17"/>
      <c r="U680" t="s">
        <v>1417</v>
      </c>
      <c r="AA680" s="1359"/>
      <c r="AB680" s="1359"/>
      <c r="AC680" s="1359"/>
      <c r="AD680" s="1359"/>
      <c r="AE680" s="1359"/>
      <c r="AF680" s="1359"/>
      <c r="AG680" s="1359"/>
      <c r="AH680" s="1359"/>
      <c r="AI680" s="1359"/>
      <c r="AJ680" s="1359"/>
      <c r="AK680" s="1359"/>
      <c r="AZ680" s="2"/>
    </row>
    <row r="681" spans="1:52" ht="13" customHeight="1">
      <c r="A681" s="17"/>
      <c r="B681" t="s">
        <v>1421</v>
      </c>
      <c r="N681" s="1367" t="s">
        <v>694</v>
      </c>
      <c r="O681" s="1367"/>
      <c r="T681" s="17"/>
      <c r="U681" t="s">
        <v>1421</v>
      </c>
      <c r="AG681" s="1367" t="s">
        <v>694</v>
      </c>
      <c r="AH681" s="1367"/>
      <c r="AZ681" s="2"/>
    </row>
    <row r="682" spans="1:52" ht="13" customHeight="1">
      <c r="A682" s="17"/>
      <c r="T682" s="17"/>
      <c r="AZ682" s="2"/>
    </row>
    <row r="683" spans="1:52" ht="13" customHeight="1">
      <c r="A683" s="36" t="s">
        <v>1409</v>
      </c>
      <c r="B683" t="s">
        <v>1412</v>
      </c>
      <c r="G683" s="1435">
        <f>C637</f>
        <v>0</v>
      </c>
      <c r="H683" s="1435"/>
      <c r="I683" s="1435"/>
      <c r="J683" s="1435"/>
      <c r="K683" s="1435"/>
      <c r="L683" s="1435"/>
      <c r="M683" s="1435"/>
      <c r="N683" s="1435"/>
      <c r="O683" s="1435"/>
      <c r="P683" s="1435"/>
      <c r="Q683" s="1435"/>
      <c r="R683" s="1435"/>
      <c r="T683" s="36" t="s">
        <v>1410</v>
      </c>
      <c r="U683" t="s">
        <v>1412</v>
      </c>
      <c r="Z683" s="1435">
        <f>C638</f>
        <v>0</v>
      </c>
      <c r="AA683" s="1435"/>
      <c r="AB683" s="1435"/>
      <c r="AC683" s="1435"/>
      <c r="AD683" s="1435"/>
      <c r="AE683" s="1435"/>
      <c r="AF683" s="1435"/>
      <c r="AG683" s="1435"/>
      <c r="AH683" s="1435"/>
      <c r="AI683" s="1435"/>
      <c r="AJ683" s="1435"/>
      <c r="AK683" s="1435"/>
      <c r="AZ683" s="2"/>
    </row>
    <row r="684" spans="1:52" ht="13" customHeight="1">
      <c r="B684" t="s">
        <v>1065</v>
      </c>
      <c r="G684" s="1359"/>
      <c r="H684" s="1359"/>
      <c r="I684" s="1359"/>
      <c r="J684" s="1359"/>
      <c r="K684" s="1359"/>
      <c r="L684" s="1359"/>
      <c r="M684" s="1359"/>
      <c r="N684" s="1359"/>
      <c r="O684" s="1359"/>
      <c r="P684" s="1359"/>
      <c r="Q684" s="1359"/>
      <c r="R684" s="1359"/>
      <c r="T684" s="17"/>
      <c r="U684" t="s">
        <v>1065</v>
      </c>
      <c r="Z684" s="1359"/>
      <c r="AA684" s="1359"/>
      <c r="AB684" s="1359"/>
      <c r="AC684" s="1359"/>
      <c r="AD684" s="1359"/>
      <c r="AE684" s="1359"/>
      <c r="AF684" s="1359"/>
      <c r="AG684" s="1359"/>
      <c r="AH684" s="1359"/>
      <c r="AI684" s="1359"/>
      <c r="AJ684" s="1359"/>
      <c r="AK684" s="1359"/>
      <c r="AZ684" s="2"/>
    </row>
    <row r="685" spans="1:52" ht="13" customHeight="1">
      <c r="B685" t="s">
        <v>932</v>
      </c>
      <c r="G685" s="1359"/>
      <c r="H685" s="1359"/>
      <c r="I685" s="1359"/>
      <c r="J685" s="1359"/>
      <c r="K685" s="1359"/>
      <c r="L685" s="1359"/>
      <c r="M685" s="1359"/>
      <c r="N685" s="1359"/>
      <c r="O685" s="1359"/>
      <c r="P685" s="1359"/>
      <c r="Q685" s="1359"/>
      <c r="R685" s="1359"/>
      <c r="U685" t="s">
        <v>932</v>
      </c>
      <c r="Z685" s="1326"/>
      <c r="AA685" s="1326"/>
      <c r="AB685" s="1326"/>
      <c r="AC685" s="1326"/>
      <c r="AD685" s="1326"/>
      <c r="AE685" s="1326"/>
      <c r="AF685" s="1326"/>
      <c r="AG685" s="1326"/>
      <c r="AH685" s="1326"/>
      <c r="AI685" s="1326"/>
      <c r="AJ685" s="1326"/>
      <c r="AK685" s="1326"/>
      <c r="AZ685" s="2"/>
    </row>
    <row r="686" spans="1:52" ht="13" customHeight="1">
      <c r="B686" t="s">
        <v>1414</v>
      </c>
      <c r="G686" s="1359"/>
      <c r="H686" s="1359"/>
      <c r="I686" s="1359"/>
      <c r="J686" s="1359"/>
      <c r="K686" s="1359"/>
      <c r="L686" s="1359"/>
      <c r="M686" s="1359"/>
      <c r="N686" s="1359"/>
      <c r="O686" s="1359"/>
      <c r="P686" s="1359"/>
      <c r="Q686" s="1359"/>
      <c r="R686" s="1359"/>
      <c r="U686" t="s">
        <v>1414</v>
      </c>
      <c r="Z686" s="1326"/>
      <c r="AA686" s="1326"/>
      <c r="AB686" s="1326"/>
      <c r="AC686" s="1326"/>
      <c r="AD686" s="1326"/>
      <c r="AE686" s="1326"/>
      <c r="AF686" s="1326"/>
      <c r="AG686" s="1326"/>
      <c r="AH686" s="1326"/>
      <c r="AI686" s="1326"/>
      <c r="AJ686" s="1326"/>
      <c r="AK686" s="1326"/>
      <c r="AZ686" s="2"/>
    </row>
    <row r="687" spans="1:52" ht="13" customHeight="1">
      <c r="B687" t="s">
        <v>825</v>
      </c>
      <c r="G687" s="1439"/>
      <c r="H687" s="1439"/>
      <c r="I687" s="1439"/>
      <c r="J687" s="1439"/>
      <c r="K687" s="1439"/>
      <c r="L687" s="1439"/>
      <c r="O687" s="819" t="s">
        <v>1074</v>
      </c>
      <c r="P687" s="1423"/>
      <c r="Q687" s="1423"/>
      <c r="R687" s="1423"/>
      <c r="U687" t="s">
        <v>825</v>
      </c>
      <c r="Z687" s="1439"/>
      <c r="AA687" s="1439"/>
      <c r="AB687" s="1439"/>
      <c r="AC687" s="1439"/>
      <c r="AD687" s="1439"/>
      <c r="AE687" s="1439"/>
      <c r="AH687" s="819" t="s">
        <v>1074</v>
      </c>
      <c r="AI687" s="1423"/>
      <c r="AJ687" s="1423"/>
      <c r="AK687" s="1423"/>
      <c r="AZ687" s="2"/>
    </row>
    <row r="688" spans="1:52" ht="13" customHeight="1">
      <c r="B688" t="s">
        <v>1417</v>
      </c>
      <c r="H688" s="1359"/>
      <c r="I688" s="1359"/>
      <c r="J688" s="1359"/>
      <c r="K688" s="1359"/>
      <c r="L688" s="1359"/>
      <c r="M688" s="1359"/>
      <c r="N688" s="1359"/>
      <c r="O688" s="1359"/>
      <c r="P688" s="1359"/>
      <c r="Q688" s="1359"/>
      <c r="R688" s="1359"/>
      <c r="U688" t="s">
        <v>1417</v>
      </c>
      <c r="AA688" s="1359"/>
      <c r="AB688" s="1359"/>
      <c r="AC688" s="1359"/>
      <c r="AD688" s="1359"/>
      <c r="AE688" s="1359"/>
      <c r="AF688" s="1359"/>
      <c r="AG688" s="1359"/>
      <c r="AH688" s="1359"/>
      <c r="AI688" s="1359"/>
      <c r="AJ688" s="1359"/>
      <c r="AK688" s="1359"/>
      <c r="AZ688" s="2"/>
    </row>
    <row r="689" spans="1:67" ht="13" customHeight="1">
      <c r="B689" t="s">
        <v>1421</v>
      </c>
      <c r="N689" s="1367" t="s">
        <v>694</v>
      </c>
      <c r="O689" s="1367"/>
      <c r="U689" t="s">
        <v>1421</v>
      </c>
      <c r="AG689" s="1367" t="s">
        <v>694</v>
      </c>
      <c r="AH689" s="1367"/>
      <c r="AZ689" s="2"/>
    </row>
    <row r="690" spans="1:67" ht="13" customHeight="1">
      <c r="AZ690" s="2"/>
    </row>
    <row r="691" spans="1:67" ht="13" customHeight="1">
      <c r="A691" s="1" t="s">
        <v>913</v>
      </c>
      <c r="C691" s="1" t="s">
        <v>179</v>
      </c>
      <c r="E691" s="1155"/>
      <c r="F691" s="1155"/>
      <c r="G691" s="1155"/>
      <c r="H691" s="1155"/>
      <c r="AZ691" s="2"/>
    </row>
    <row r="692" spans="1:67" ht="13" customHeight="1">
      <c r="B692" s="1167"/>
      <c r="C692" s="1167"/>
      <c r="D692" s="822" t="s">
        <v>1445</v>
      </c>
      <c r="E692" s="1167"/>
      <c r="F692" s="1167"/>
      <c r="G692" s="1167"/>
      <c r="H692" s="1167"/>
      <c r="AZ692" s="2"/>
    </row>
    <row r="693" spans="1:67" ht="13" customHeight="1">
      <c r="B693" s="1167"/>
      <c r="C693" s="1167"/>
      <c r="E693" s="822" t="s">
        <v>1446</v>
      </c>
      <c r="F693" s="1167"/>
      <c r="G693" s="1167"/>
      <c r="H693" s="1167"/>
      <c r="AE693" s="1367" t="s">
        <v>847</v>
      </c>
      <c r="AF693" s="1367"/>
      <c r="AZ693" s="2"/>
    </row>
    <row r="694" spans="1:67" ht="13" customHeight="1">
      <c r="B694" s="1167"/>
      <c r="C694" s="1167"/>
      <c r="D694" s="822" t="s">
        <v>1447</v>
      </c>
      <c r="E694" s="1167"/>
      <c r="F694" s="1167"/>
      <c r="G694" s="1167"/>
      <c r="H694" s="1167"/>
      <c r="AE694" s="1367" t="s">
        <v>847</v>
      </c>
      <c r="AF694" s="1367"/>
      <c r="AZ694" s="2"/>
    </row>
    <row r="695" spans="1:67" ht="13" customHeight="1">
      <c r="B695" s="1167"/>
      <c r="C695" s="1167"/>
      <c r="D695" s="822" t="s">
        <v>1448</v>
      </c>
      <c r="E695" s="1167"/>
      <c r="F695" s="1167"/>
      <c r="G695" s="1167"/>
      <c r="H695" s="1167"/>
      <c r="AE695" s="1457">
        <v>45685</v>
      </c>
      <c r="AF695" s="1457"/>
      <c r="AG695" s="1457"/>
      <c r="AH695" s="1457"/>
      <c r="AI695" s="1457"/>
    </row>
    <row r="696" spans="1:67" ht="13" customHeight="1">
      <c r="B696" s="1167"/>
      <c r="C696" s="1167"/>
      <c r="D696" s="197" t="s">
        <v>1449</v>
      </c>
      <c r="E696" s="1167"/>
      <c r="F696" s="1167"/>
      <c r="G696" s="1167"/>
      <c r="H696" s="1167"/>
      <c r="AE696" s="1604">
        <v>45755</v>
      </c>
      <c r="AF696" s="1604"/>
      <c r="AG696" s="1604"/>
      <c r="AH696" s="1604"/>
      <c r="AI696" s="1604"/>
    </row>
    <row r="697" spans="1:67" ht="13" customHeight="1">
      <c r="B697" s="1167"/>
      <c r="C697" s="1167"/>
    </row>
    <row r="698" spans="1:67" ht="13" customHeight="1">
      <c r="B698" s="1167"/>
      <c r="C698" s="1167"/>
      <c r="D698" s="822" t="s">
        <v>1450</v>
      </c>
      <c r="E698" s="1167"/>
      <c r="F698" s="1167"/>
      <c r="G698" s="1167"/>
      <c r="H698" s="1167"/>
      <c r="AE698" s="1457"/>
      <c r="AF698" s="1457"/>
      <c r="AG698" s="1457"/>
      <c r="AH698" s="1457"/>
      <c r="AI698" s="1457"/>
    </row>
    <row r="699" spans="1:67" ht="13" customHeight="1">
      <c r="B699" s="1167"/>
      <c r="C699" s="1167"/>
      <c r="D699" s="822" t="s">
        <v>1451</v>
      </c>
      <c r="E699" s="1167"/>
      <c r="F699" s="1167"/>
      <c r="G699" s="1167"/>
      <c r="H699" s="1167"/>
      <c r="AE699" s="1624">
        <v>0.52</v>
      </c>
      <c r="AF699" s="1624"/>
      <c r="AG699" s="1624"/>
      <c r="AH699" s="1624"/>
      <c r="AI699" s="1624"/>
    </row>
    <row r="700" spans="1:67" ht="13" customHeight="1">
      <c r="B700" s="1167"/>
      <c r="C700" s="1167"/>
      <c r="D700" s="822" t="s">
        <v>1452</v>
      </c>
      <c r="E700" s="1167"/>
      <c r="F700" s="1167"/>
      <c r="G700" s="1167"/>
      <c r="H700" s="1167"/>
      <c r="W700" s="1435" t="str">
        <f>H335</f>
        <v>California Municipal Finance Authority</v>
      </c>
      <c r="X700" s="1435"/>
      <c r="Y700" s="1435"/>
      <c r="Z700" s="1435"/>
      <c r="AA700" s="1435"/>
      <c r="AB700" s="1435"/>
      <c r="AC700" s="1435"/>
      <c r="AD700" s="1435"/>
      <c r="AE700" s="1435"/>
      <c r="AF700" s="1435"/>
      <c r="AG700" s="1435"/>
      <c r="AH700" s="1435"/>
      <c r="AI700" s="1435"/>
      <c r="AJ700" s="1435"/>
      <c r="AK700" s="1435"/>
    </row>
    <row r="701" spans="1:67" ht="13" customHeight="1">
      <c r="B701" s="1167"/>
      <c r="C701" s="1167"/>
      <c r="D701" s="822"/>
      <c r="E701" s="1167"/>
      <c r="F701" s="1167"/>
      <c r="G701" s="1167"/>
      <c r="H701" s="1167"/>
    </row>
    <row r="702" spans="1:67" ht="13" customHeight="1">
      <c r="B702" s="1167"/>
      <c r="C702" s="1167"/>
      <c r="D702" s="822" t="s">
        <v>1453</v>
      </c>
      <c r="E702" s="1167"/>
      <c r="F702" s="1167"/>
      <c r="G702" s="1167"/>
      <c r="H702" s="1167"/>
      <c r="AE702" s="1367" t="s">
        <v>694</v>
      </c>
      <c r="AF702" s="1367"/>
      <c r="AZ702" s="2" t="s">
        <v>831</v>
      </c>
    </row>
    <row r="703" spans="1:67" ht="13" customHeight="1">
      <c r="B703" s="1167"/>
      <c r="C703" s="1167"/>
      <c r="D703" s="822" t="s">
        <v>1454</v>
      </c>
      <c r="E703" s="1167"/>
      <c r="F703" s="1167"/>
      <c r="G703" s="1167"/>
      <c r="H703" s="1167"/>
      <c r="W703" s="1359"/>
      <c r="X703" s="1359"/>
      <c r="Y703" s="1359"/>
      <c r="Z703" s="1359"/>
      <c r="AA703" s="1359"/>
      <c r="AB703" s="1359"/>
      <c r="AC703" s="1359"/>
      <c r="AD703" s="1359"/>
      <c r="AE703" s="1359"/>
      <c r="AF703" s="1359"/>
      <c r="AG703" s="1359"/>
      <c r="AH703" s="1359"/>
      <c r="AI703" s="1359"/>
      <c r="AJ703" s="1359"/>
      <c r="AK703" s="1359"/>
      <c r="AZ703" s="2" t="s">
        <v>832</v>
      </c>
    </row>
    <row r="704" spans="1:67" ht="13" customHeight="1">
      <c r="B704" s="1167"/>
      <c r="C704" s="1167"/>
      <c r="D704" s="822" t="s">
        <v>1070</v>
      </c>
      <c r="E704" s="1167"/>
      <c r="F704" s="1167"/>
      <c r="G704" s="1167"/>
      <c r="H704" s="1167"/>
      <c r="J704" s="1359"/>
      <c r="K704" s="1359"/>
      <c r="L704" s="1359"/>
      <c r="M704" s="1359"/>
      <c r="N704" s="1359"/>
      <c r="O704" s="1359"/>
      <c r="P704" s="1359"/>
      <c r="Q704" s="1359"/>
      <c r="R704" s="1359"/>
      <c r="S704" s="1359"/>
      <c r="T704" s="1359"/>
      <c r="U704" s="1359"/>
      <c r="V704" s="1359"/>
      <c r="W704" s="1359"/>
      <c r="X704" s="1359"/>
      <c r="AZ704" s="2" t="s">
        <v>833</v>
      </c>
      <c r="BB704" s="2"/>
      <c r="BC704" s="2"/>
      <c r="BD704" s="2"/>
      <c r="BE704" s="2"/>
      <c r="BF704" s="2"/>
      <c r="BJ704" s="2"/>
      <c r="BK704" s="2"/>
      <c r="BL704" s="2"/>
      <c r="BM704" s="2"/>
      <c r="BN704" s="2"/>
      <c r="BO704" s="2"/>
    </row>
    <row r="705" spans="1:185" ht="13" customHeight="1">
      <c r="B705" s="1167"/>
      <c r="C705" s="1167"/>
      <c r="D705" s="822" t="s">
        <v>1072</v>
      </c>
      <c r="J705" s="1439"/>
      <c r="K705" s="1439"/>
      <c r="L705" s="1439"/>
      <c r="M705" s="1439"/>
      <c r="N705" s="1439"/>
      <c r="O705" s="1439"/>
      <c r="P705" s="2" t="s">
        <v>1074</v>
      </c>
      <c r="Q705" s="2"/>
      <c r="R705" s="1423"/>
      <c r="S705" s="1423"/>
      <c r="T705" s="1423"/>
      <c r="AZ705" s="2" t="s">
        <v>834</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3" customHeight="1">
      <c r="B706" s="1167"/>
      <c r="C706" s="1167"/>
      <c r="D706" s="822" t="s">
        <v>1455</v>
      </c>
      <c r="W706" s="1359" t="s">
        <v>547</v>
      </c>
      <c r="X706" s="1359"/>
      <c r="Y706" s="1359"/>
      <c r="Z706" s="1359"/>
      <c r="AA706" s="1359"/>
      <c r="AB706" s="1359"/>
      <c r="AC706" s="1359"/>
      <c r="AD706" s="1359"/>
      <c r="AE706" s="1359"/>
      <c r="AF706" s="1359"/>
      <c r="AG706" s="1359"/>
      <c r="AH706" s="1359"/>
      <c r="AI706" s="1359"/>
      <c r="AJ706" s="1359"/>
      <c r="AK706" s="1359"/>
      <c r="AZ706" s="2" t="s">
        <v>835</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3" customHeight="1">
      <c r="B707" s="1167"/>
      <c r="C707" s="1167"/>
      <c r="D707" s="822"/>
      <c r="E707" s="1359" t="s">
        <v>1343</v>
      </c>
      <c r="F707" s="1359"/>
      <c r="G707" s="1359"/>
      <c r="H707" s="1359"/>
      <c r="I707" s="1359"/>
      <c r="J707" s="1359"/>
      <c r="K707" s="1359"/>
      <c r="L707" s="1359"/>
      <c r="M707" s="1359"/>
      <c r="N707" s="1359"/>
      <c r="O707" s="1359"/>
      <c r="P707" s="1359"/>
      <c r="Q707" s="1359"/>
      <c r="R707" s="1359"/>
      <c r="S707" s="1359"/>
      <c r="T707" s="1359"/>
      <c r="U707" s="1359"/>
      <c r="V707" s="1359"/>
      <c r="W707" s="1359"/>
      <c r="X707" s="1359"/>
      <c r="Y707" s="1359"/>
      <c r="Z707" s="1359"/>
      <c r="AA707" s="1359"/>
      <c r="AB707" s="1359"/>
      <c r="AC707" s="1359"/>
      <c r="AD707" s="1359"/>
      <c r="AE707" s="1359"/>
      <c r="AF707" s="1359"/>
      <c r="AG707" s="1359"/>
      <c r="AH707" s="1359"/>
      <c r="AI707" s="1359"/>
      <c r="AJ707" s="1359"/>
      <c r="AK707" s="1359"/>
      <c r="AZ707" s="2" t="s">
        <v>836</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3" customHeight="1">
      <c r="A709" s="1231" t="s">
        <v>1456</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3"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3"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3" customHeight="1">
      <c r="A712" s="1" t="s">
        <v>872</v>
      </c>
      <c r="B712" s="1"/>
      <c r="C712" s="1" t="s">
        <v>1457</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3" customHeight="1">
      <c r="A713" s="1"/>
      <c r="B713" s="36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3" customHeight="1">
      <c r="B714" s="1445" t="s">
        <v>1458</v>
      </c>
      <c r="C714" s="1446"/>
      <c r="D714" s="1446"/>
      <c r="E714" s="1446"/>
      <c r="F714" s="1447"/>
      <c r="G714" s="1445" t="s">
        <v>1459</v>
      </c>
      <c r="H714" s="1446"/>
      <c r="I714" s="1446"/>
      <c r="J714" s="1447"/>
      <c r="K714" s="1461" t="s">
        <v>1460</v>
      </c>
      <c r="L714" s="1462"/>
      <c r="M714" s="1462"/>
      <c r="N714" s="1463"/>
      <c r="O714" s="1445" t="s">
        <v>1461</v>
      </c>
      <c r="P714" s="1446"/>
      <c r="Q714" s="1446"/>
      <c r="R714" s="1446"/>
      <c r="S714" s="1447"/>
      <c r="T714" s="1445" t="s">
        <v>1462</v>
      </c>
      <c r="U714" s="1446"/>
      <c r="V714" s="1446"/>
      <c r="W714" s="1447"/>
      <c r="X714" s="1445" t="s">
        <v>1463</v>
      </c>
      <c r="Y714" s="1446"/>
      <c r="Z714" s="1446"/>
      <c r="AA714" s="1446"/>
      <c r="AB714" s="1447"/>
      <c r="AC714" s="1445" t="s">
        <v>1464</v>
      </c>
      <c r="AD714" s="1446"/>
      <c r="AE714" s="1446"/>
      <c r="AF714" s="1446"/>
      <c r="AG714" s="1447"/>
      <c r="AH714" s="1445" t="s">
        <v>1465</v>
      </c>
      <c r="AI714" s="1446"/>
      <c r="AJ714" s="1447"/>
      <c r="AK714" s="1445" t="s">
        <v>1466</v>
      </c>
      <c r="AL714" s="1446"/>
      <c r="AM714" s="1446"/>
      <c r="AN714" s="1446"/>
      <c r="AO714" s="1447"/>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3" customHeight="1">
      <c r="B715" s="1448"/>
      <c r="C715" s="1449"/>
      <c r="D715" s="1449"/>
      <c r="E715" s="1449"/>
      <c r="F715" s="1450"/>
      <c r="G715" s="1448"/>
      <c r="H715" s="1449"/>
      <c r="I715" s="1449"/>
      <c r="J715" s="1450"/>
      <c r="K715" s="1464"/>
      <c r="L715" s="1465"/>
      <c r="M715" s="1465"/>
      <c r="N715" s="1466"/>
      <c r="O715" s="1448"/>
      <c r="P715" s="1449"/>
      <c r="Q715" s="1449"/>
      <c r="R715" s="1449"/>
      <c r="S715" s="1450"/>
      <c r="T715" s="1448"/>
      <c r="U715" s="1449"/>
      <c r="V715" s="1449"/>
      <c r="W715" s="1450"/>
      <c r="X715" s="1448"/>
      <c r="Y715" s="1449"/>
      <c r="Z715" s="1449"/>
      <c r="AA715" s="1449"/>
      <c r="AB715" s="1450"/>
      <c r="AC715" s="1448"/>
      <c r="AD715" s="1449"/>
      <c r="AE715" s="1449"/>
      <c r="AF715" s="1449"/>
      <c r="AG715" s="1450"/>
      <c r="AH715" s="1448"/>
      <c r="AI715" s="1449"/>
      <c r="AJ715" s="1450"/>
      <c r="AK715" s="1448"/>
      <c r="AL715" s="1449"/>
      <c r="AM715" s="1449"/>
      <c r="AN715" s="1449"/>
      <c r="AO715" s="1450"/>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3" customHeight="1">
      <c r="A716" s="2"/>
      <c r="B716" s="1448"/>
      <c r="C716" s="1449"/>
      <c r="D716" s="1449"/>
      <c r="E716" s="1449"/>
      <c r="F716" s="1450"/>
      <c r="G716" s="1448"/>
      <c r="H716" s="1449"/>
      <c r="I716" s="1449"/>
      <c r="J716" s="1450"/>
      <c r="K716" s="1464"/>
      <c r="L716" s="1465"/>
      <c r="M716" s="1465"/>
      <c r="N716" s="1466"/>
      <c r="O716" s="1448"/>
      <c r="P716" s="1449"/>
      <c r="Q716" s="1449"/>
      <c r="R716" s="1449"/>
      <c r="S716" s="1450"/>
      <c r="T716" s="1448"/>
      <c r="U716" s="1449"/>
      <c r="V716" s="1449"/>
      <c r="W716" s="1450"/>
      <c r="X716" s="1448"/>
      <c r="Y716" s="1449"/>
      <c r="Z716" s="1449"/>
      <c r="AA716" s="1449"/>
      <c r="AB716" s="1450"/>
      <c r="AC716" s="1448"/>
      <c r="AD716" s="1449"/>
      <c r="AE716" s="1449"/>
      <c r="AF716" s="1449"/>
      <c r="AG716" s="1450"/>
      <c r="AH716" s="1448"/>
      <c r="AI716" s="1449"/>
      <c r="AJ716" s="1450"/>
      <c r="AK716" s="1448"/>
      <c r="AL716" s="1449"/>
      <c r="AM716" s="1449"/>
      <c r="AN716" s="1449"/>
      <c r="AO716" s="1450"/>
      <c r="AP716" s="2"/>
      <c r="AQ716" s="2"/>
      <c r="AR716" s="2"/>
      <c r="AS716" s="2"/>
      <c r="BA716" s="2"/>
      <c r="BB716" s="2"/>
      <c r="BC716" s="2"/>
      <c r="BD716" s="2"/>
      <c r="BE716" s="113"/>
      <c r="BF716" s="114" t="s">
        <v>1467</v>
      </c>
      <c r="BG716" s="113"/>
      <c r="BH716" s="113"/>
      <c r="BI716" s="2"/>
      <c r="BJ716" s="2"/>
      <c r="BK716" s="2"/>
      <c r="BL716" s="2"/>
      <c r="BM716" s="2"/>
      <c r="BN716" s="2"/>
      <c r="BS716" s="114" t="s">
        <v>1468</v>
      </c>
      <c r="BT716" s="113"/>
      <c r="BU716" s="113"/>
      <c r="CC716" s="2"/>
      <c r="CD716" s="2"/>
      <c r="CE716" s="2"/>
      <c r="CF716" s="2"/>
      <c r="CG716" s="2"/>
      <c r="CH716" s="2"/>
      <c r="CI716" s="2"/>
      <c r="CJ716" s="2"/>
      <c r="CK716" s="2"/>
      <c r="CL716" s="2"/>
      <c r="CM716" s="2"/>
      <c r="CN716" s="2"/>
      <c r="CO716" s="2"/>
      <c r="CP716" s="2" t="s">
        <v>1469</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1470</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1471</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3" customHeight="1">
      <c r="A717" s="2"/>
      <c r="B717" s="1451"/>
      <c r="C717" s="1452"/>
      <c r="D717" s="1452"/>
      <c r="E717" s="1452"/>
      <c r="F717" s="1453"/>
      <c r="G717" s="1451"/>
      <c r="H717" s="1452"/>
      <c r="I717" s="1452"/>
      <c r="J717" s="1453"/>
      <c r="K717" s="1464"/>
      <c r="L717" s="1465"/>
      <c r="M717" s="1465"/>
      <c r="N717" s="1466"/>
      <c r="O717" s="1451"/>
      <c r="P717" s="1452"/>
      <c r="Q717" s="1452"/>
      <c r="R717" s="1452"/>
      <c r="S717" s="1453"/>
      <c r="T717" s="1451"/>
      <c r="U717" s="1452"/>
      <c r="V717" s="1452"/>
      <c r="W717" s="1453"/>
      <c r="X717" s="1451"/>
      <c r="Y717" s="1452"/>
      <c r="Z717" s="1452"/>
      <c r="AA717" s="1452"/>
      <c r="AB717" s="1453"/>
      <c r="AC717" s="1451"/>
      <c r="AD717" s="1452"/>
      <c r="AE717" s="1452"/>
      <c r="AF717" s="1452"/>
      <c r="AG717" s="1453"/>
      <c r="AH717" s="1451"/>
      <c r="AI717" s="1452"/>
      <c r="AJ717" s="1453"/>
      <c r="AK717" s="1451"/>
      <c r="AL717" s="1452"/>
      <c r="AM717" s="1452"/>
      <c r="AN717" s="1452"/>
      <c r="AO717" s="1453"/>
      <c r="AP717" s="2"/>
      <c r="AQ717" s="2"/>
      <c r="AR717" s="2"/>
      <c r="AS717" s="2"/>
      <c r="AZ717" s="57" t="s">
        <v>1472</v>
      </c>
      <c r="BA717" s="2"/>
      <c r="BB717" s="2"/>
      <c r="BC717" s="2"/>
      <c r="BD717" s="2"/>
      <c r="BE717" s="113"/>
      <c r="BF717" s="176" t="s">
        <v>1473</v>
      </c>
      <c r="BG717" s="180" t="s">
        <v>1474</v>
      </c>
      <c r="BH717" s="179" t="s">
        <v>1475</v>
      </c>
      <c r="BI717" s="2"/>
      <c r="BJ717" s="2"/>
      <c r="BK717" s="2"/>
      <c r="BL717" s="2"/>
      <c r="BM717" s="2"/>
      <c r="BN717" s="2"/>
      <c r="BS717" s="176" t="s">
        <v>1473</v>
      </c>
      <c r="BT717" s="180" t="s">
        <v>1474</v>
      </c>
      <c r="BU717" s="179" t="s">
        <v>1475</v>
      </c>
      <c r="CC717" s="2"/>
      <c r="CD717" s="2"/>
      <c r="CE717" s="2"/>
      <c r="CF717" s="2"/>
      <c r="CG717" s="1106" t="s">
        <v>1476</v>
      </c>
      <c r="CH717" s="1108"/>
      <c r="CI717" s="1296"/>
      <c r="CJ717" s="1298"/>
      <c r="CK717" s="1106" t="s">
        <v>1477</v>
      </c>
      <c r="CL717" s="1108"/>
      <c r="CM717" s="1296"/>
      <c r="CN717" s="1298"/>
      <c r="CO717" s="2"/>
      <c r="CP717" s="1728" t="s">
        <v>837</v>
      </c>
      <c r="CQ717" s="1729"/>
      <c r="CR717" s="1729"/>
      <c r="CS717" s="1729"/>
      <c r="CT717" s="1730"/>
      <c r="CU717" s="1440" t="s">
        <v>832</v>
      </c>
      <c r="CV717" s="1440"/>
      <c r="CW717" s="1440"/>
      <c r="CX717" s="1440"/>
      <c r="CY717" s="1440"/>
      <c r="CZ717" s="1440" t="s">
        <v>833</v>
      </c>
      <c r="DA717" s="1440"/>
      <c r="DB717" s="1440"/>
      <c r="DC717" s="1440"/>
      <c r="DD717" s="1440"/>
      <c r="DE717" s="1440" t="s">
        <v>834</v>
      </c>
      <c r="DF717" s="1440"/>
      <c r="DG717" s="1440"/>
      <c r="DH717" s="1440"/>
      <c r="DI717" s="1440"/>
      <c r="DJ717" s="1440" t="s">
        <v>838</v>
      </c>
      <c r="DK717" s="1440"/>
      <c r="DL717" s="1440"/>
      <c r="DM717" s="1440"/>
      <c r="DN717" s="1440"/>
      <c r="DO717" s="1440" t="s">
        <v>836</v>
      </c>
      <c r="DP717" s="1440"/>
      <c r="DQ717" s="1440"/>
      <c r="DR717" s="1440"/>
      <c r="DS717" s="1440"/>
      <c r="DT717" s="1144"/>
      <c r="DU717" s="1440" t="s">
        <v>837</v>
      </c>
      <c r="DV717" s="1440"/>
      <c r="DW717" s="1440"/>
      <c r="DX717" s="1440"/>
      <c r="DY717" s="1440"/>
      <c r="DZ717" s="1440" t="s">
        <v>832</v>
      </c>
      <c r="EA717" s="1440"/>
      <c r="EB717" s="1440"/>
      <c r="EC717" s="1440"/>
      <c r="ED717" s="1440"/>
      <c r="EE717" s="1440" t="s">
        <v>833</v>
      </c>
      <c r="EF717" s="1440"/>
      <c r="EG717" s="1440"/>
      <c r="EH717" s="1440"/>
      <c r="EI717" s="1440"/>
      <c r="EJ717" s="1440" t="s">
        <v>834</v>
      </c>
      <c r="EK717" s="1440"/>
      <c r="EL717" s="1440"/>
      <c r="EM717" s="1440"/>
      <c r="EN717" s="1440"/>
      <c r="EO717" s="1440" t="s">
        <v>838</v>
      </c>
      <c r="EP717" s="1440"/>
      <c r="EQ717" s="1440"/>
      <c r="ER717" s="1440"/>
      <c r="ES717" s="1440"/>
      <c r="ET717" s="1440" t="s">
        <v>836</v>
      </c>
      <c r="EU717" s="1440"/>
      <c r="EV717" s="1440"/>
      <c r="EW717" s="1440"/>
      <c r="EX717" s="1440"/>
      <c r="EY717" s="2"/>
      <c r="EZ717" s="1440" t="s">
        <v>837</v>
      </c>
      <c r="FA717" s="1440"/>
      <c r="FB717" s="1440"/>
      <c r="FC717" s="1440"/>
      <c r="FD717" s="1440"/>
      <c r="FE717" s="1440" t="s">
        <v>832</v>
      </c>
      <c r="FF717" s="1440"/>
      <c r="FG717" s="1440"/>
      <c r="FH717" s="1440"/>
      <c r="FI717" s="1440"/>
      <c r="FJ717" s="1440" t="s">
        <v>833</v>
      </c>
      <c r="FK717" s="1440"/>
      <c r="FL717" s="1440"/>
      <c r="FM717" s="1440"/>
      <c r="FN717" s="1440"/>
      <c r="FO717" s="1440" t="s">
        <v>834</v>
      </c>
      <c r="FP717" s="1440"/>
      <c r="FQ717" s="1440"/>
      <c r="FR717" s="1440"/>
      <c r="FS717" s="1440"/>
      <c r="FT717" s="1440" t="s">
        <v>838</v>
      </c>
      <c r="FU717" s="1440"/>
      <c r="FV717" s="1440"/>
      <c r="FW717" s="1440"/>
      <c r="FX717" s="1440"/>
      <c r="FY717" s="1440" t="s">
        <v>836</v>
      </c>
      <c r="FZ717" s="1440"/>
      <c r="GA717" s="1440"/>
      <c r="GB717" s="1440"/>
      <c r="GC717" s="1440"/>
    </row>
    <row r="718" spans="1:185" ht="13" customHeight="1">
      <c r="A718" s="2"/>
      <c r="B718" s="1310" t="s">
        <v>832</v>
      </c>
      <c r="C718" s="1311"/>
      <c r="D718" s="1311"/>
      <c r="E718" s="1311"/>
      <c r="F718" s="1312"/>
      <c r="G718" s="1319">
        <v>6</v>
      </c>
      <c r="H718" s="1320"/>
      <c r="I718" s="1320"/>
      <c r="J718" s="1321"/>
      <c r="K718" s="1545">
        <v>572</v>
      </c>
      <c r="L718" s="1546"/>
      <c r="M718" s="1546"/>
      <c r="N718" s="1547"/>
      <c r="O718" s="1420">
        <v>1239</v>
      </c>
      <c r="P718" s="1421"/>
      <c r="Q718" s="1421"/>
      <c r="R718" s="1421"/>
      <c r="S718" s="1422"/>
      <c r="T718" s="1420">
        <v>138</v>
      </c>
      <c r="U718" s="1421"/>
      <c r="V718" s="1421"/>
      <c r="W718" s="1422"/>
      <c r="X718" s="1313">
        <f t="shared" ref="X718:X741" si="8">O718+T718</f>
        <v>1377</v>
      </c>
      <c r="Y718" s="1314"/>
      <c r="Z718" s="1314"/>
      <c r="AA718" s="1314"/>
      <c r="AB718" s="1315"/>
      <c r="AC718" s="1554">
        <v>0.6</v>
      </c>
      <c r="AD718" s="1555"/>
      <c r="AE718" s="1555"/>
      <c r="AF718" s="1555"/>
      <c r="AG718" s="1556"/>
      <c r="AH718" s="1316">
        <f>IF($AC718&gt;0,($X718/$AZ718), "")</f>
        <v>0.59973867595818819</v>
      </c>
      <c r="AI718" s="1317"/>
      <c r="AJ718" s="1318"/>
      <c r="AK718" s="1310" t="s">
        <v>798</v>
      </c>
      <c r="AL718" s="1311"/>
      <c r="AM718" s="1311"/>
      <c r="AN718" s="1311"/>
      <c r="AO718" s="1312"/>
      <c r="AP718" s="2"/>
      <c r="AQ718" s="2"/>
      <c r="AR718" s="2"/>
      <c r="AS718" s="2"/>
      <c r="AZ718" s="68">
        <f t="shared" ref="AZ718:AZ752" si="9">IF($G718=0,"N/A",VLOOKUP($T$189,TC_Rent,(MATCH($B718,bedrooms,FALSE)),FALSE))</f>
        <v>2296</v>
      </c>
      <c r="BA718" s="2"/>
      <c r="BB718" s="2"/>
      <c r="BC718" s="2"/>
      <c r="BD718" s="2"/>
      <c r="BE718" s="113"/>
      <c r="BF718" s="177">
        <f t="shared" ref="BF718:BF752" si="10">G718</f>
        <v>6</v>
      </c>
      <c r="BG718" s="181">
        <f t="shared" ref="BG718:BG752" si="11">IF($BF$753=0,0,BF718/$BF$753)</f>
        <v>0.11538461538461539</v>
      </c>
      <c r="BH718" s="182">
        <f t="shared" ref="BH718:BH752" si="12">IF(BG718=0,"",BG718*AC718)</f>
        <v>6.9230769230769235E-2</v>
      </c>
      <c r="BI718" s="2"/>
      <c r="BJ718" s="2"/>
      <c r="BK718" s="2"/>
      <c r="BL718" s="2"/>
      <c r="BM718" s="2"/>
      <c r="BN718" s="2"/>
      <c r="BS718" s="177">
        <f t="shared" ref="BS718:BS752" si="13">G718</f>
        <v>6</v>
      </c>
      <c r="BT718" s="181">
        <f t="shared" ref="BT718:BT752" si="14">IF($BS$753=0,0,BS718/$BS$753)</f>
        <v>0.11538461538461539</v>
      </c>
      <c r="BU718" s="182">
        <f t="shared" ref="BU718:BU752" si="15">IF(BT718=0,"",BT718*AH718)</f>
        <v>6.920061645671402E-2</v>
      </c>
      <c r="CC718" s="2"/>
      <c r="CD718" s="2"/>
      <c r="CE718" s="2"/>
      <c r="CF718" s="2"/>
      <c r="CG718" s="1296">
        <f>IF(AND(AC718&lt;=0.5,AC718&gt;=0.36),1,0)</f>
        <v>0</v>
      </c>
      <c r="CH718" s="1298"/>
      <c r="CI718" s="1296">
        <f>IF(CG718=1,G718,0)</f>
        <v>0</v>
      </c>
      <c r="CJ718" s="1298"/>
      <c r="CK718" s="1296">
        <f t="shared" ref="CK718:CK752" si="16">IF(AND(AC718&lt;=0.35,AC718&gt;0),1,0)</f>
        <v>0</v>
      </c>
      <c r="CL718" s="1298"/>
      <c r="CM718" s="1296">
        <f t="shared" ref="CM718:CM752" si="17">IF(CK718=1,G718,0)</f>
        <v>0</v>
      </c>
      <c r="CN718" s="1298"/>
      <c r="CO718" s="2"/>
      <c r="CP718" s="1293">
        <f t="shared" ref="CP718:CP752" si="18">IF(B718="SRO/Studio",G718,0)</f>
        <v>0</v>
      </c>
      <c r="CQ718" s="1294"/>
      <c r="CR718" s="1294"/>
      <c r="CS718" s="1294"/>
      <c r="CT718" s="1295"/>
      <c r="CU718" s="1309">
        <f t="shared" ref="CU718:CU752" si="19">IF(B718="1 Bedroom",G718,0)</f>
        <v>6</v>
      </c>
      <c r="CV718" s="1309"/>
      <c r="CW718" s="1309"/>
      <c r="CX718" s="1309"/>
      <c r="CY718" s="1309"/>
      <c r="CZ718" s="1309">
        <f t="shared" ref="CZ718:CZ752" si="20">IF(B718="2 Bedrooms",G718,0)</f>
        <v>0</v>
      </c>
      <c r="DA718" s="1309"/>
      <c r="DB718" s="1309"/>
      <c r="DC718" s="1309"/>
      <c r="DD718" s="1309"/>
      <c r="DE718" s="1309">
        <f t="shared" ref="DE718:DE752" si="21">IF(B718="3 Bedrooms",G718,0)</f>
        <v>0</v>
      </c>
      <c r="DF718" s="1309"/>
      <c r="DG718" s="1309"/>
      <c r="DH718" s="1309"/>
      <c r="DI718" s="1309"/>
      <c r="DJ718" s="1309">
        <f t="shared" ref="DJ718:DJ752" si="22">IF(B718="4 Bedrooms",G718,0)</f>
        <v>0</v>
      </c>
      <c r="DK718" s="1309"/>
      <c r="DL718" s="1309"/>
      <c r="DM718" s="1309"/>
      <c r="DN718" s="1309"/>
      <c r="DO718" s="1309">
        <f t="shared" ref="DO718:DO752" si="23">IF(B718="5 Bedrooms",G718,0)</f>
        <v>0</v>
      </c>
      <c r="DP718" s="1309"/>
      <c r="DQ718" s="1309"/>
      <c r="DR718" s="1309"/>
      <c r="DS718" s="1309"/>
      <c r="DT718" s="1151"/>
      <c r="DU718" s="1323">
        <f t="shared" ref="DU718:DU752" si="24">IF(AND(B718="SRO/Studio",AC718&lt;=0.3),G718,0)</f>
        <v>0</v>
      </c>
      <c r="DV718" s="1323"/>
      <c r="DW718" s="1323"/>
      <c r="DX718" s="1323"/>
      <c r="DY718" s="1323"/>
      <c r="DZ718" s="1323">
        <f t="shared" ref="DZ718:DZ752" si="25">IF(AND(B718="1 Bedroom",AC718&lt;=0.3),G718,0)</f>
        <v>0</v>
      </c>
      <c r="EA718" s="1323"/>
      <c r="EB718" s="1323"/>
      <c r="EC718" s="1323"/>
      <c r="ED718" s="1323"/>
      <c r="EE718" s="1323">
        <f t="shared" ref="EE718:EE752" si="26">IF(AND(B718="2 Bedrooms",AC718&lt;=0.3),G718,0)</f>
        <v>0</v>
      </c>
      <c r="EF718" s="1323"/>
      <c r="EG718" s="1323"/>
      <c r="EH718" s="1323"/>
      <c r="EI718" s="1323"/>
      <c r="EJ718" s="1323">
        <f t="shared" ref="EJ718:EJ752" si="27">IF(AND(B718="3 Bedrooms",AC718&lt;=0.3),G718,0)</f>
        <v>0</v>
      </c>
      <c r="EK718" s="1323"/>
      <c r="EL718" s="1323"/>
      <c r="EM718" s="1323"/>
      <c r="EN718" s="1323"/>
      <c r="EO718" s="1323">
        <f t="shared" ref="EO718:EO752" si="28">IF(AND(B718="4 Bedrooms",AC718&lt;=0.3),G718,0)</f>
        <v>0</v>
      </c>
      <c r="EP718" s="1323"/>
      <c r="EQ718" s="1323"/>
      <c r="ER718" s="1323"/>
      <c r="ES718" s="1323"/>
      <c r="ET718" s="1323">
        <f t="shared" ref="ET718:ET752" si="29">IF(AND(B718="5 Bedrooms",AC718&lt;=0.3),G718,0)</f>
        <v>0</v>
      </c>
      <c r="EU718" s="1323"/>
      <c r="EV718" s="1323"/>
      <c r="EW718" s="1323"/>
      <c r="EX718" s="1323"/>
      <c r="EY718" s="2"/>
      <c r="EZ718" s="1296" t="str">
        <f t="shared" ref="EZ718:EZ752" si="30">IF(CP718&gt;0,O718,"")</f>
        <v/>
      </c>
      <c r="FA718" s="1297"/>
      <c r="FB718" s="1297"/>
      <c r="FC718" s="1297"/>
      <c r="FD718" s="1298"/>
      <c r="FE718" s="1296">
        <f t="shared" ref="FE718:FE752" si="31">IF(CU718&gt;0,O718,"")</f>
        <v>1239</v>
      </c>
      <c r="FF718" s="1297"/>
      <c r="FG718" s="1297"/>
      <c r="FH718" s="1297"/>
      <c r="FI718" s="1298"/>
      <c r="FJ718" s="1296" t="str">
        <f t="shared" ref="FJ718:FJ752" si="32">IF(CZ718&gt;0,O718,"")</f>
        <v/>
      </c>
      <c r="FK718" s="1297"/>
      <c r="FL718" s="1297"/>
      <c r="FM718" s="1297"/>
      <c r="FN718" s="1298"/>
      <c r="FO718" s="1296" t="str">
        <f t="shared" ref="FO718:FO752" si="33">IF(DE718&gt;0,O718,"")</f>
        <v/>
      </c>
      <c r="FP718" s="1297"/>
      <c r="FQ718" s="1297"/>
      <c r="FR718" s="1297"/>
      <c r="FS718" s="1298"/>
      <c r="FT718" s="1296" t="str">
        <f t="shared" ref="FT718:FT752" si="34">IF(DJ718&gt;0,O718,"")</f>
        <v/>
      </c>
      <c r="FU718" s="1297"/>
      <c r="FV718" s="1297"/>
      <c r="FW718" s="1297"/>
      <c r="FX718" s="1298"/>
      <c r="FY718" s="1296" t="str">
        <f t="shared" ref="FY718:FY752" si="35">IF(DO718&gt;0,O718,"")</f>
        <v/>
      </c>
      <c r="FZ718" s="1297"/>
      <c r="GA718" s="1297"/>
      <c r="GB718" s="1297"/>
      <c r="GC718" s="1298"/>
    </row>
    <row r="719" spans="1:185" ht="13" customHeight="1">
      <c r="A719" s="2"/>
      <c r="B719" s="1310" t="s">
        <v>833</v>
      </c>
      <c r="C719" s="1311"/>
      <c r="D719" s="1311"/>
      <c r="E719" s="1311"/>
      <c r="F719" s="1312"/>
      <c r="G719" s="1319">
        <v>14</v>
      </c>
      <c r="H719" s="1320"/>
      <c r="I719" s="1320"/>
      <c r="J719" s="1321"/>
      <c r="K719" s="1545">
        <v>735</v>
      </c>
      <c r="L719" s="1546"/>
      <c r="M719" s="1546"/>
      <c r="N719" s="1547"/>
      <c r="O719" s="1420">
        <v>1463</v>
      </c>
      <c r="P719" s="1421"/>
      <c r="Q719" s="1421"/>
      <c r="R719" s="1421"/>
      <c r="S719" s="1422"/>
      <c r="T719" s="1420">
        <v>190</v>
      </c>
      <c r="U719" s="1421"/>
      <c r="V719" s="1421"/>
      <c r="W719" s="1422"/>
      <c r="X719" s="1313">
        <f t="shared" si="8"/>
        <v>1653</v>
      </c>
      <c r="Y719" s="1314"/>
      <c r="Z719" s="1314"/>
      <c r="AA719" s="1314"/>
      <c r="AB719" s="1315"/>
      <c r="AC719" s="1554">
        <v>0.6</v>
      </c>
      <c r="AD719" s="1555"/>
      <c r="AE719" s="1555"/>
      <c r="AF719" s="1555"/>
      <c r="AG719" s="1556"/>
      <c r="AH719" s="1316">
        <f t="shared" ref="AH719:AH752" si="36">IF($AC719&gt;0,($X719/$AZ719), "")</f>
        <v>0.60021786492374729</v>
      </c>
      <c r="AI719" s="1317"/>
      <c r="AJ719" s="1318"/>
      <c r="AK719" s="1310" t="s">
        <v>798</v>
      </c>
      <c r="AL719" s="1311"/>
      <c r="AM719" s="1311"/>
      <c r="AN719" s="1311"/>
      <c r="AO719" s="1312"/>
      <c r="AP719" s="2"/>
      <c r="AQ719" s="2"/>
      <c r="AR719" s="2"/>
      <c r="AS719" s="2"/>
      <c r="AZ719" s="68">
        <f t="shared" si="9"/>
        <v>2754</v>
      </c>
      <c r="BA719" s="2"/>
      <c r="BB719" s="2"/>
      <c r="BC719" s="2"/>
      <c r="BD719" s="2"/>
      <c r="BE719" s="113"/>
      <c r="BF719" s="178">
        <f t="shared" si="10"/>
        <v>14</v>
      </c>
      <c r="BG719" s="181">
        <f t="shared" si="11"/>
        <v>0.26923076923076922</v>
      </c>
      <c r="BH719" s="182">
        <f t="shared" si="12"/>
        <v>0.16153846153846152</v>
      </c>
      <c r="BI719" s="2"/>
      <c r="BJ719" s="2"/>
      <c r="BK719" s="2"/>
      <c r="BL719" s="2"/>
      <c r="BM719" s="2"/>
      <c r="BN719" s="2"/>
      <c r="BS719" s="178">
        <f t="shared" si="13"/>
        <v>14</v>
      </c>
      <c r="BT719" s="181">
        <f t="shared" si="14"/>
        <v>0.26923076923076922</v>
      </c>
      <c r="BU719" s="182">
        <f t="shared" si="15"/>
        <v>0.16159711747947042</v>
      </c>
      <c r="CC719" s="2"/>
      <c r="CD719" s="2"/>
      <c r="CE719" s="2"/>
      <c r="CF719" s="2"/>
      <c r="CG719" s="1296">
        <f t="shared" ref="CG719:CG752" si="37">IF(AND(AC719&lt;=0.5,AC719&gt;=0.36),1,0)</f>
        <v>0</v>
      </c>
      <c r="CH719" s="1298"/>
      <c r="CI719" s="1296">
        <f t="shared" ref="CI719:CI752" si="38">IF(CG719=1,G719,0)</f>
        <v>0</v>
      </c>
      <c r="CJ719" s="1298"/>
      <c r="CK719" s="1296">
        <f t="shared" si="16"/>
        <v>0</v>
      </c>
      <c r="CL719" s="1298"/>
      <c r="CM719" s="1296">
        <f t="shared" si="17"/>
        <v>0</v>
      </c>
      <c r="CN719" s="1298"/>
      <c r="CO719" s="2"/>
      <c r="CP719" s="1293">
        <f t="shared" si="18"/>
        <v>0</v>
      </c>
      <c r="CQ719" s="1294"/>
      <c r="CR719" s="1294"/>
      <c r="CS719" s="1294"/>
      <c r="CT719" s="1295"/>
      <c r="CU719" s="1309">
        <f t="shared" si="19"/>
        <v>0</v>
      </c>
      <c r="CV719" s="1309"/>
      <c r="CW719" s="1309"/>
      <c r="CX719" s="1309"/>
      <c r="CY719" s="1309"/>
      <c r="CZ719" s="1309">
        <f t="shared" si="20"/>
        <v>14</v>
      </c>
      <c r="DA719" s="1309"/>
      <c r="DB719" s="1309"/>
      <c r="DC719" s="1309"/>
      <c r="DD719" s="1309"/>
      <c r="DE719" s="1309">
        <f t="shared" si="21"/>
        <v>0</v>
      </c>
      <c r="DF719" s="1309"/>
      <c r="DG719" s="1309"/>
      <c r="DH719" s="1309"/>
      <c r="DI719" s="1309"/>
      <c r="DJ719" s="1309">
        <f t="shared" si="22"/>
        <v>0</v>
      </c>
      <c r="DK719" s="1309"/>
      <c r="DL719" s="1309"/>
      <c r="DM719" s="1309"/>
      <c r="DN719" s="1309"/>
      <c r="DO719" s="1309">
        <f t="shared" si="23"/>
        <v>0</v>
      </c>
      <c r="DP719" s="1309"/>
      <c r="DQ719" s="1309"/>
      <c r="DR719" s="1309"/>
      <c r="DS719" s="1309"/>
      <c r="DT719" s="1151"/>
      <c r="DU719" s="1323">
        <f t="shared" si="24"/>
        <v>0</v>
      </c>
      <c r="DV719" s="1323"/>
      <c r="DW719" s="1323"/>
      <c r="DX719" s="1323"/>
      <c r="DY719" s="1323"/>
      <c r="DZ719" s="1323">
        <f t="shared" si="25"/>
        <v>0</v>
      </c>
      <c r="EA719" s="1323"/>
      <c r="EB719" s="1323"/>
      <c r="EC719" s="1323"/>
      <c r="ED719" s="1323"/>
      <c r="EE719" s="1323">
        <f t="shared" si="26"/>
        <v>0</v>
      </c>
      <c r="EF719" s="1323"/>
      <c r="EG719" s="1323"/>
      <c r="EH719" s="1323"/>
      <c r="EI719" s="1323"/>
      <c r="EJ719" s="1323">
        <f t="shared" si="27"/>
        <v>0</v>
      </c>
      <c r="EK719" s="1323"/>
      <c r="EL719" s="1323"/>
      <c r="EM719" s="1323"/>
      <c r="EN719" s="1323"/>
      <c r="EO719" s="1323">
        <f t="shared" si="28"/>
        <v>0</v>
      </c>
      <c r="EP719" s="1323"/>
      <c r="EQ719" s="1323"/>
      <c r="ER719" s="1323"/>
      <c r="ES719" s="1323"/>
      <c r="ET719" s="1323">
        <f t="shared" si="29"/>
        <v>0</v>
      </c>
      <c r="EU719" s="1323"/>
      <c r="EV719" s="1323"/>
      <c r="EW719" s="1323"/>
      <c r="EX719" s="1323"/>
      <c r="EY719" s="2"/>
      <c r="EZ719" s="1296" t="str">
        <f t="shared" si="30"/>
        <v/>
      </c>
      <c r="FA719" s="1297"/>
      <c r="FB719" s="1297"/>
      <c r="FC719" s="1297"/>
      <c r="FD719" s="1298"/>
      <c r="FE719" s="1296" t="str">
        <f t="shared" si="31"/>
        <v/>
      </c>
      <c r="FF719" s="1297"/>
      <c r="FG719" s="1297"/>
      <c r="FH719" s="1297"/>
      <c r="FI719" s="1298"/>
      <c r="FJ719" s="1296">
        <f t="shared" si="32"/>
        <v>1463</v>
      </c>
      <c r="FK719" s="1297"/>
      <c r="FL719" s="1297"/>
      <c r="FM719" s="1297"/>
      <c r="FN719" s="1298"/>
      <c r="FO719" s="1296" t="str">
        <f t="shared" si="33"/>
        <v/>
      </c>
      <c r="FP719" s="1297"/>
      <c r="FQ719" s="1297"/>
      <c r="FR719" s="1297"/>
      <c r="FS719" s="1298"/>
      <c r="FT719" s="1296" t="str">
        <f t="shared" si="34"/>
        <v/>
      </c>
      <c r="FU719" s="1297"/>
      <c r="FV719" s="1297"/>
      <c r="FW719" s="1297"/>
      <c r="FX719" s="1298"/>
      <c r="FY719" s="1296" t="str">
        <f t="shared" si="35"/>
        <v/>
      </c>
      <c r="FZ719" s="1297"/>
      <c r="GA719" s="1297"/>
      <c r="GB719" s="1297"/>
      <c r="GC719" s="1298"/>
    </row>
    <row r="720" spans="1:185" ht="13" customHeight="1">
      <c r="A720" s="2"/>
      <c r="B720" s="1310" t="s">
        <v>833</v>
      </c>
      <c r="C720" s="1311"/>
      <c r="D720" s="1311"/>
      <c r="E720" s="1311"/>
      <c r="F720" s="1312"/>
      <c r="G720" s="1319">
        <v>10</v>
      </c>
      <c r="H720" s="1320"/>
      <c r="I720" s="1320"/>
      <c r="J720" s="1321"/>
      <c r="K720" s="1545">
        <v>735</v>
      </c>
      <c r="L720" s="1546"/>
      <c r="M720" s="1546"/>
      <c r="N720" s="1547"/>
      <c r="O720" s="1420">
        <v>636.20000000000005</v>
      </c>
      <c r="P720" s="1421"/>
      <c r="Q720" s="1421"/>
      <c r="R720" s="1421"/>
      <c r="S720" s="1422"/>
      <c r="T720" s="1420">
        <v>190</v>
      </c>
      <c r="U720" s="1421"/>
      <c r="V720" s="1421"/>
      <c r="W720" s="1422"/>
      <c r="X720" s="1313">
        <f t="shared" si="8"/>
        <v>826.2</v>
      </c>
      <c r="Y720" s="1314"/>
      <c r="Z720" s="1314"/>
      <c r="AA720" s="1314"/>
      <c r="AB720" s="1315"/>
      <c r="AC720" s="1554">
        <v>0.3</v>
      </c>
      <c r="AD720" s="1555"/>
      <c r="AE720" s="1555"/>
      <c r="AF720" s="1555"/>
      <c r="AG720" s="1556"/>
      <c r="AH720" s="1316">
        <f t="shared" si="36"/>
        <v>0.3</v>
      </c>
      <c r="AI720" s="1317"/>
      <c r="AJ720" s="1318"/>
      <c r="AK720" s="1310" t="s">
        <v>798</v>
      </c>
      <c r="AL720" s="1311"/>
      <c r="AM720" s="1311"/>
      <c r="AN720" s="1311"/>
      <c r="AO720" s="1312"/>
      <c r="AP720" s="2"/>
      <c r="AQ720" s="2"/>
      <c r="AR720" s="2"/>
      <c r="AS720" s="2"/>
      <c r="AZ720" s="68">
        <f t="shared" si="9"/>
        <v>2754</v>
      </c>
      <c r="BA720" s="2"/>
      <c r="BB720" s="2"/>
      <c r="BC720" s="2"/>
      <c r="BD720" s="2"/>
      <c r="BE720" s="113"/>
      <c r="BF720" s="178">
        <f t="shared" si="10"/>
        <v>10</v>
      </c>
      <c r="BG720" s="181">
        <f t="shared" si="11"/>
        <v>0.19230769230769232</v>
      </c>
      <c r="BH720" s="182">
        <f t="shared" si="12"/>
        <v>5.7692307692307696E-2</v>
      </c>
      <c r="BI720" s="2"/>
      <c r="BJ720" s="2"/>
      <c r="BK720" s="2"/>
      <c r="BL720" s="2"/>
      <c r="BM720" s="2"/>
      <c r="BN720" s="2"/>
      <c r="BS720" s="178">
        <f t="shared" si="13"/>
        <v>10</v>
      </c>
      <c r="BT720" s="181">
        <f t="shared" si="14"/>
        <v>0.19230769230769232</v>
      </c>
      <c r="BU720" s="182">
        <f t="shared" si="15"/>
        <v>5.7692307692307696E-2</v>
      </c>
      <c r="CC720" s="2"/>
      <c r="CD720" s="2"/>
      <c r="CE720" s="2"/>
      <c r="CF720" s="2"/>
      <c r="CG720" s="1296">
        <f t="shared" si="37"/>
        <v>0</v>
      </c>
      <c r="CH720" s="1298"/>
      <c r="CI720" s="1296">
        <f t="shared" si="38"/>
        <v>0</v>
      </c>
      <c r="CJ720" s="1298"/>
      <c r="CK720" s="1296">
        <f t="shared" si="16"/>
        <v>1</v>
      </c>
      <c r="CL720" s="1298"/>
      <c r="CM720" s="1296">
        <f t="shared" si="17"/>
        <v>10</v>
      </c>
      <c r="CN720" s="1298"/>
      <c r="CO720" s="2"/>
      <c r="CP720" s="1293">
        <f t="shared" si="18"/>
        <v>0</v>
      </c>
      <c r="CQ720" s="1294"/>
      <c r="CR720" s="1294"/>
      <c r="CS720" s="1294"/>
      <c r="CT720" s="1295"/>
      <c r="CU720" s="1309">
        <f t="shared" si="19"/>
        <v>0</v>
      </c>
      <c r="CV720" s="1309"/>
      <c r="CW720" s="1309"/>
      <c r="CX720" s="1309"/>
      <c r="CY720" s="1309"/>
      <c r="CZ720" s="1309">
        <f t="shared" si="20"/>
        <v>10</v>
      </c>
      <c r="DA720" s="1309"/>
      <c r="DB720" s="1309"/>
      <c r="DC720" s="1309"/>
      <c r="DD720" s="1309"/>
      <c r="DE720" s="1309">
        <f t="shared" si="21"/>
        <v>0</v>
      </c>
      <c r="DF720" s="1309"/>
      <c r="DG720" s="1309"/>
      <c r="DH720" s="1309"/>
      <c r="DI720" s="1309"/>
      <c r="DJ720" s="1309">
        <f t="shared" si="22"/>
        <v>0</v>
      </c>
      <c r="DK720" s="1309"/>
      <c r="DL720" s="1309"/>
      <c r="DM720" s="1309"/>
      <c r="DN720" s="1309"/>
      <c r="DO720" s="1309">
        <f t="shared" si="23"/>
        <v>0</v>
      </c>
      <c r="DP720" s="1309"/>
      <c r="DQ720" s="1309"/>
      <c r="DR720" s="1309"/>
      <c r="DS720" s="1309"/>
      <c r="DT720" s="1151"/>
      <c r="DU720" s="1323">
        <f t="shared" si="24"/>
        <v>0</v>
      </c>
      <c r="DV720" s="1323"/>
      <c r="DW720" s="1323"/>
      <c r="DX720" s="1323"/>
      <c r="DY720" s="1323"/>
      <c r="DZ720" s="1323">
        <f t="shared" si="25"/>
        <v>0</v>
      </c>
      <c r="EA720" s="1323"/>
      <c r="EB720" s="1323"/>
      <c r="EC720" s="1323"/>
      <c r="ED720" s="1323"/>
      <c r="EE720" s="1323">
        <f t="shared" si="26"/>
        <v>10</v>
      </c>
      <c r="EF720" s="1323"/>
      <c r="EG720" s="1323"/>
      <c r="EH720" s="1323"/>
      <c r="EI720" s="1323"/>
      <c r="EJ720" s="1323">
        <f t="shared" si="27"/>
        <v>0</v>
      </c>
      <c r="EK720" s="1323"/>
      <c r="EL720" s="1323"/>
      <c r="EM720" s="1323"/>
      <c r="EN720" s="1323"/>
      <c r="EO720" s="1323">
        <f t="shared" si="28"/>
        <v>0</v>
      </c>
      <c r="EP720" s="1323"/>
      <c r="EQ720" s="1323"/>
      <c r="ER720" s="1323"/>
      <c r="ES720" s="1323"/>
      <c r="ET720" s="1323">
        <f t="shared" si="29"/>
        <v>0</v>
      </c>
      <c r="EU720" s="1323"/>
      <c r="EV720" s="1323"/>
      <c r="EW720" s="1323"/>
      <c r="EX720" s="1323"/>
      <c r="EZ720" s="1296" t="str">
        <f t="shared" si="30"/>
        <v/>
      </c>
      <c r="FA720" s="1297"/>
      <c r="FB720" s="1297"/>
      <c r="FC720" s="1297"/>
      <c r="FD720" s="1298"/>
      <c r="FE720" s="1296" t="str">
        <f t="shared" si="31"/>
        <v/>
      </c>
      <c r="FF720" s="1297"/>
      <c r="FG720" s="1297"/>
      <c r="FH720" s="1297"/>
      <c r="FI720" s="1298"/>
      <c r="FJ720" s="1296">
        <f t="shared" si="32"/>
        <v>636.20000000000005</v>
      </c>
      <c r="FK720" s="1297"/>
      <c r="FL720" s="1297"/>
      <c r="FM720" s="1297"/>
      <c r="FN720" s="1298"/>
      <c r="FO720" s="1296" t="str">
        <f t="shared" si="33"/>
        <v/>
      </c>
      <c r="FP720" s="1297"/>
      <c r="FQ720" s="1297"/>
      <c r="FR720" s="1297"/>
      <c r="FS720" s="1298"/>
      <c r="FT720" s="1296" t="str">
        <f t="shared" si="34"/>
        <v/>
      </c>
      <c r="FU720" s="1297"/>
      <c r="FV720" s="1297"/>
      <c r="FW720" s="1297"/>
      <c r="FX720" s="1298"/>
      <c r="FY720" s="1296" t="str">
        <f t="shared" si="35"/>
        <v/>
      </c>
      <c r="FZ720" s="1297"/>
      <c r="GA720" s="1297"/>
      <c r="GB720" s="1297"/>
      <c r="GC720" s="1298"/>
    </row>
    <row r="721" spans="1:185" ht="13" customHeight="1">
      <c r="B721" s="1310" t="s">
        <v>834</v>
      </c>
      <c r="C721" s="1311"/>
      <c r="D721" s="1311"/>
      <c r="E721" s="1311"/>
      <c r="F721" s="1312"/>
      <c r="G721" s="1319">
        <v>7</v>
      </c>
      <c r="H721" s="1320"/>
      <c r="I721" s="1320"/>
      <c r="J721" s="1321"/>
      <c r="K721" s="1545">
        <v>930</v>
      </c>
      <c r="L721" s="1546"/>
      <c r="M721" s="1546"/>
      <c r="N721" s="1547"/>
      <c r="O721" s="1420">
        <v>1664.2</v>
      </c>
      <c r="P721" s="1421"/>
      <c r="Q721" s="1421"/>
      <c r="R721" s="1421"/>
      <c r="S721" s="1422"/>
      <c r="T721" s="1420">
        <v>245</v>
      </c>
      <c r="U721" s="1421"/>
      <c r="V721" s="1421"/>
      <c r="W721" s="1422"/>
      <c r="X721" s="1313">
        <f t="shared" si="8"/>
        <v>1909.2</v>
      </c>
      <c r="Y721" s="1314"/>
      <c r="Z721" s="1314"/>
      <c r="AA721" s="1314"/>
      <c r="AB721" s="1315"/>
      <c r="AC721" s="1554">
        <v>0.6</v>
      </c>
      <c r="AD721" s="1555"/>
      <c r="AE721" s="1555"/>
      <c r="AF721" s="1555"/>
      <c r="AG721" s="1556"/>
      <c r="AH721" s="1316">
        <f t="shared" si="36"/>
        <v>0.6</v>
      </c>
      <c r="AI721" s="1317"/>
      <c r="AJ721" s="1318"/>
      <c r="AK721" s="1310" t="s">
        <v>798</v>
      </c>
      <c r="AL721" s="1311"/>
      <c r="AM721" s="1311"/>
      <c r="AN721" s="1311"/>
      <c r="AO721" s="1312"/>
      <c r="AP721" s="2"/>
      <c r="AQ721" s="2"/>
      <c r="AR721" s="2"/>
      <c r="AS721" s="2"/>
      <c r="AY721" s="69"/>
      <c r="AZ721" s="68">
        <f t="shared" si="9"/>
        <v>3182</v>
      </c>
      <c r="BA721" s="2"/>
      <c r="BB721" s="2"/>
      <c r="BC721" s="2"/>
      <c r="BD721" s="2"/>
      <c r="BE721" s="113"/>
      <c r="BF721" s="178">
        <f t="shared" si="10"/>
        <v>7</v>
      </c>
      <c r="BG721" s="181">
        <f t="shared" si="11"/>
        <v>0.13461538461538461</v>
      </c>
      <c r="BH721" s="182">
        <f t="shared" si="12"/>
        <v>8.076923076923076E-2</v>
      </c>
      <c r="BI721" s="2"/>
      <c r="BJ721" s="2"/>
      <c r="BK721" s="2"/>
      <c r="BL721" s="2"/>
      <c r="BM721" s="2"/>
      <c r="BN721" s="2"/>
      <c r="BS721" s="178">
        <f t="shared" si="13"/>
        <v>7</v>
      </c>
      <c r="BT721" s="181">
        <f t="shared" si="14"/>
        <v>0.13461538461538461</v>
      </c>
      <c r="BU721" s="182">
        <f t="shared" si="15"/>
        <v>8.076923076923076E-2</v>
      </c>
      <c r="CC721" s="2"/>
      <c r="CD721" s="2"/>
      <c r="CE721" s="2"/>
      <c r="CF721" s="2"/>
      <c r="CG721" s="1296">
        <f t="shared" si="37"/>
        <v>0</v>
      </c>
      <c r="CH721" s="1298"/>
      <c r="CI721" s="1296">
        <f t="shared" si="38"/>
        <v>0</v>
      </c>
      <c r="CJ721" s="1298"/>
      <c r="CK721" s="1296">
        <f t="shared" si="16"/>
        <v>0</v>
      </c>
      <c r="CL721" s="1298"/>
      <c r="CM721" s="1296">
        <f t="shared" si="17"/>
        <v>0</v>
      </c>
      <c r="CN721" s="1298"/>
      <c r="CO721" s="2"/>
      <c r="CP721" s="1293">
        <f t="shared" si="18"/>
        <v>0</v>
      </c>
      <c r="CQ721" s="1294"/>
      <c r="CR721" s="1294"/>
      <c r="CS721" s="1294"/>
      <c r="CT721" s="1295"/>
      <c r="CU721" s="1309">
        <f t="shared" si="19"/>
        <v>0</v>
      </c>
      <c r="CV721" s="1309"/>
      <c r="CW721" s="1309"/>
      <c r="CX721" s="1309"/>
      <c r="CY721" s="1309"/>
      <c r="CZ721" s="1309">
        <f t="shared" si="20"/>
        <v>0</v>
      </c>
      <c r="DA721" s="1309"/>
      <c r="DB721" s="1309"/>
      <c r="DC721" s="1309"/>
      <c r="DD721" s="1309"/>
      <c r="DE721" s="1309">
        <f t="shared" si="21"/>
        <v>7</v>
      </c>
      <c r="DF721" s="1309"/>
      <c r="DG721" s="1309"/>
      <c r="DH721" s="1309"/>
      <c r="DI721" s="1309"/>
      <c r="DJ721" s="1309">
        <f t="shared" si="22"/>
        <v>0</v>
      </c>
      <c r="DK721" s="1309"/>
      <c r="DL721" s="1309"/>
      <c r="DM721" s="1309"/>
      <c r="DN721" s="1309"/>
      <c r="DO721" s="1309">
        <f t="shared" si="23"/>
        <v>0</v>
      </c>
      <c r="DP721" s="1309"/>
      <c r="DQ721" s="1309"/>
      <c r="DR721" s="1309"/>
      <c r="DS721" s="1309"/>
      <c r="DT721" s="1151"/>
      <c r="DU721" s="1323">
        <f t="shared" si="24"/>
        <v>0</v>
      </c>
      <c r="DV721" s="1323"/>
      <c r="DW721" s="1323"/>
      <c r="DX721" s="1323"/>
      <c r="DY721" s="1323"/>
      <c r="DZ721" s="1323">
        <f t="shared" si="25"/>
        <v>0</v>
      </c>
      <c r="EA721" s="1323"/>
      <c r="EB721" s="1323"/>
      <c r="EC721" s="1323"/>
      <c r="ED721" s="1323"/>
      <c r="EE721" s="1323">
        <f t="shared" si="26"/>
        <v>0</v>
      </c>
      <c r="EF721" s="1323"/>
      <c r="EG721" s="1323"/>
      <c r="EH721" s="1323"/>
      <c r="EI721" s="1323"/>
      <c r="EJ721" s="1323">
        <f t="shared" si="27"/>
        <v>0</v>
      </c>
      <c r="EK721" s="1323"/>
      <c r="EL721" s="1323"/>
      <c r="EM721" s="1323"/>
      <c r="EN721" s="1323"/>
      <c r="EO721" s="1323">
        <f t="shared" si="28"/>
        <v>0</v>
      </c>
      <c r="EP721" s="1323"/>
      <c r="EQ721" s="1323"/>
      <c r="ER721" s="1323"/>
      <c r="ES721" s="1323"/>
      <c r="ET721" s="1323">
        <f t="shared" si="29"/>
        <v>0</v>
      </c>
      <c r="EU721" s="1323"/>
      <c r="EV721" s="1323"/>
      <c r="EW721" s="1323"/>
      <c r="EX721" s="1323"/>
      <c r="EZ721" s="1296" t="str">
        <f t="shared" si="30"/>
        <v/>
      </c>
      <c r="FA721" s="1297"/>
      <c r="FB721" s="1297"/>
      <c r="FC721" s="1297"/>
      <c r="FD721" s="1298"/>
      <c r="FE721" s="1296" t="str">
        <f t="shared" si="31"/>
        <v/>
      </c>
      <c r="FF721" s="1297"/>
      <c r="FG721" s="1297"/>
      <c r="FH721" s="1297"/>
      <c r="FI721" s="1298"/>
      <c r="FJ721" s="1296" t="str">
        <f t="shared" si="32"/>
        <v/>
      </c>
      <c r="FK721" s="1297"/>
      <c r="FL721" s="1297"/>
      <c r="FM721" s="1297"/>
      <c r="FN721" s="1298"/>
      <c r="FO721" s="1296">
        <f t="shared" si="33"/>
        <v>1664.2</v>
      </c>
      <c r="FP721" s="1297"/>
      <c r="FQ721" s="1297"/>
      <c r="FR721" s="1297"/>
      <c r="FS721" s="1298"/>
      <c r="FT721" s="1296" t="str">
        <f t="shared" si="34"/>
        <v/>
      </c>
      <c r="FU721" s="1297"/>
      <c r="FV721" s="1297"/>
      <c r="FW721" s="1297"/>
      <c r="FX721" s="1298"/>
      <c r="FY721" s="1296" t="str">
        <f t="shared" si="35"/>
        <v/>
      </c>
      <c r="FZ721" s="1297"/>
      <c r="GA721" s="1297"/>
      <c r="GB721" s="1297"/>
      <c r="GC721" s="1298"/>
    </row>
    <row r="722" spans="1:185" ht="13" customHeight="1">
      <c r="B722" s="1310" t="s">
        <v>834</v>
      </c>
      <c r="C722" s="1311"/>
      <c r="D722" s="1311"/>
      <c r="E722" s="1311"/>
      <c r="F722" s="1312"/>
      <c r="G722" s="1319">
        <v>15</v>
      </c>
      <c r="H722" s="1320"/>
      <c r="I722" s="1320"/>
      <c r="J722" s="1321"/>
      <c r="K722" s="1545">
        <v>930</v>
      </c>
      <c r="L722" s="1546"/>
      <c r="M722" s="1546"/>
      <c r="N722" s="1547"/>
      <c r="O722" s="1420">
        <v>709</v>
      </c>
      <c r="P722" s="1421"/>
      <c r="Q722" s="1421"/>
      <c r="R722" s="1421"/>
      <c r="S722" s="1422"/>
      <c r="T722" s="1420">
        <v>245</v>
      </c>
      <c r="U722" s="1421"/>
      <c r="V722" s="1421"/>
      <c r="W722" s="1422"/>
      <c r="X722" s="1313">
        <f t="shared" si="8"/>
        <v>954</v>
      </c>
      <c r="Y722" s="1314"/>
      <c r="Z722" s="1314"/>
      <c r="AA722" s="1314"/>
      <c r="AB722" s="1315"/>
      <c r="AC722" s="1554">
        <v>0.3</v>
      </c>
      <c r="AD722" s="1555"/>
      <c r="AE722" s="1555"/>
      <c r="AF722" s="1555"/>
      <c r="AG722" s="1556"/>
      <c r="AH722" s="1316">
        <f t="shared" si="36"/>
        <v>0.29981143934632309</v>
      </c>
      <c r="AI722" s="1317"/>
      <c r="AJ722" s="1318"/>
      <c r="AK722" s="1310" t="s">
        <v>798</v>
      </c>
      <c r="AL722" s="1311"/>
      <c r="AM722" s="1311"/>
      <c r="AN722" s="1311"/>
      <c r="AO722" s="1312"/>
      <c r="AP722" s="2"/>
      <c r="AQ722" s="2"/>
      <c r="AR722" s="2"/>
      <c r="AS722" s="2"/>
      <c r="AY722" s="69"/>
      <c r="AZ722" s="68">
        <f t="shared" si="9"/>
        <v>3182</v>
      </c>
      <c r="BA722" s="2"/>
      <c r="BB722" s="2"/>
      <c r="BC722" s="2"/>
      <c r="BD722" s="2"/>
      <c r="BE722" s="113"/>
      <c r="BF722" s="178">
        <f t="shared" si="10"/>
        <v>15</v>
      </c>
      <c r="BG722" s="181">
        <f t="shared" si="11"/>
        <v>0.28846153846153844</v>
      </c>
      <c r="BH722" s="182">
        <f t="shared" si="12"/>
        <v>8.6538461538461522E-2</v>
      </c>
      <c r="BI722" s="2"/>
      <c r="BJ722" s="2"/>
      <c r="BK722" s="2"/>
      <c r="BL722" s="2"/>
      <c r="BM722" s="2"/>
      <c r="BN722" s="2"/>
      <c r="BS722" s="178">
        <f t="shared" si="13"/>
        <v>15</v>
      </c>
      <c r="BT722" s="181">
        <f t="shared" si="14"/>
        <v>0.28846153846153844</v>
      </c>
      <c r="BU722" s="182">
        <f t="shared" si="15"/>
        <v>8.6484069042208581E-2</v>
      </c>
      <c r="CC722" s="2"/>
      <c r="CD722" s="2"/>
      <c r="CE722" s="2"/>
      <c r="CF722" s="2"/>
      <c r="CG722" s="1296">
        <f t="shared" si="37"/>
        <v>0</v>
      </c>
      <c r="CH722" s="1298"/>
      <c r="CI722" s="1296">
        <f t="shared" si="38"/>
        <v>0</v>
      </c>
      <c r="CJ722" s="1298"/>
      <c r="CK722" s="1296">
        <f t="shared" si="16"/>
        <v>1</v>
      </c>
      <c r="CL722" s="1298"/>
      <c r="CM722" s="1296">
        <f t="shared" si="17"/>
        <v>15</v>
      </c>
      <c r="CN722" s="1298"/>
      <c r="CO722" s="2"/>
      <c r="CP722" s="1293">
        <f t="shared" si="18"/>
        <v>0</v>
      </c>
      <c r="CQ722" s="1294"/>
      <c r="CR722" s="1294"/>
      <c r="CS722" s="1294"/>
      <c r="CT722" s="1295"/>
      <c r="CU722" s="1309">
        <f t="shared" si="19"/>
        <v>0</v>
      </c>
      <c r="CV722" s="1309"/>
      <c r="CW722" s="1309"/>
      <c r="CX722" s="1309"/>
      <c r="CY722" s="1309"/>
      <c r="CZ722" s="1309">
        <f t="shared" si="20"/>
        <v>0</v>
      </c>
      <c r="DA722" s="1309"/>
      <c r="DB722" s="1309"/>
      <c r="DC722" s="1309"/>
      <c r="DD722" s="1309"/>
      <c r="DE722" s="1309">
        <f t="shared" si="21"/>
        <v>15</v>
      </c>
      <c r="DF722" s="1309"/>
      <c r="DG722" s="1309"/>
      <c r="DH722" s="1309"/>
      <c r="DI722" s="1309"/>
      <c r="DJ722" s="1309">
        <f t="shared" si="22"/>
        <v>0</v>
      </c>
      <c r="DK722" s="1309"/>
      <c r="DL722" s="1309"/>
      <c r="DM722" s="1309"/>
      <c r="DN722" s="1309"/>
      <c r="DO722" s="1309">
        <f t="shared" si="23"/>
        <v>0</v>
      </c>
      <c r="DP722" s="1309"/>
      <c r="DQ722" s="1309"/>
      <c r="DR722" s="1309"/>
      <c r="DS722" s="1309"/>
      <c r="DT722" s="1151"/>
      <c r="DU722" s="1323">
        <f t="shared" si="24"/>
        <v>0</v>
      </c>
      <c r="DV722" s="1323"/>
      <c r="DW722" s="1323"/>
      <c r="DX722" s="1323"/>
      <c r="DY722" s="1323"/>
      <c r="DZ722" s="1323">
        <f t="shared" si="25"/>
        <v>0</v>
      </c>
      <c r="EA722" s="1323"/>
      <c r="EB722" s="1323"/>
      <c r="EC722" s="1323"/>
      <c r="ED722" s="1323"/>
      <c r="EE722" s="1323">
        <f t="shared" si="26"/>
        <v>0</v>
      </c>
      <c r="EF722" s="1323"/>
      <c r="EG722" s="1323"/>
      <c r="EH722" s="1323"/>
      <c r="EI722" s="1323"/>
      <c r="EJ722" s="1323">
        <f t="shared" si="27"/>
        <v>15</v>
      </c>
      <c r="EK722" s="1323"/>
      <c r="EL722" s="1323"/>
      <c r="EM722" s="1323"/>
      <c r="EN722" s="1323"/>
      <c r="EO722" s="1323">
        <f t="shared" si="28"/>
        <v>0</v>
      </c>
      <c r="EP722" s="1323"/>
      <c r="EQ722" s="1323"/>
      <c r="ER722" s="1323"/>
      <c r="ES722" s="1323"/>
      <c r="ET722" s="1323">
        <f t="shared" si="29"/>
        <v>0</v>
      </c>
      <c r="EU722" s="1323"/>
      <c r="EV722" s="1323"/>
      <c r="EW722" s="1323"/>
      <c r="EX722" s="1323"/>
      <c r="EZ722" s="1296" t="str">
        <f t="shared" si="30"/>
        <v/>
      </c>
      <c r="FA722" s="1297"/>
      <c r="FB722" s="1297"/>
      <c r="FC722" s="1297"/>
      <c r="FD722" s="1298"/>
      <c r="FE722" s="1296" t="str">
        <f t="shared" si="31"/>
        <v/>
      </c>
      <c r="FF722" s="1297"/>
      <c r="FG722" s="1297"/>
      <c r="FH722" s="1297"/>
      <c r="FI722" s="1298"/>
      <c r="FJ722" s="1296" t="str">
        <f t="shared" si="32"/>
        <v/>
      </c>
      <c r="FK722" s="1297"/>
      <c r="FL722" s="1297"/>
      <c r="FM722" s="1297"/>
      <c r="FN722" s="1298"/>
      <c r="FO722" s="1296">
        <f t="shared" si="33"/>
        <v>709</v>
      </c>
      <c r="FP722" s="1297"/>
      <c r="FQ722" s="1297"/>
      <c r="FR722" s="1297"/>
      <c r="FS722" s="1298"/>
      <c r="FT722" s="1296" t="str">
        <f t="shared" si="34"/>
        <v/>
      </c>
      <c r="FU722" s="1297"/>
      <c r="FV722" s="1297"/>
      <c r="FW722" s="1297"/>
      <c r="FX722" s="1298"/>
      <c r="FY722" s="1296" t="str">
        <f t="shared" si="35"/>
        <v/>
      </c>
      <c r="FZ722" s="1297"/>
      <c r="GA722" s="1297"/>
      <c r="GB722" s="1297"/>
      <c r="GC722" s="1298"/>
    </row>
    <row r="723" spans="1:185" ht="13" customHeight="1">
      <c r="B723" s="1310"/>
      <c r="C723" s="1311"/>
      <c r="D723" s="1311"/>
      <c r="E723" s="1311"/>
      <c r="F723" s="1312"/>
      <c r="G723" s="1319"/>
      <c r="H723" s="1320"/>
      <c r="I723" s="1320"/>
      <c r="J723" s="1321"/>
      <c r="K723" s="1545"/>
      <c r="L723" s="1546"/>
      <c r="M723" s="1546"/>
      <c r="N723" s="1547"/>
      <c r="O723" s="1420"/>
      <c r="P723" s="1421"/>
      <c r="Q723" s="1421"/>
      <c r="R723" s="1421"/>
      <c r="S723" s="1422"/>
      <c r="T723" s="1420"/>
      <c r="U723" s="1421"/>
      <c r="V723" s="1421"/>
      <c r="W723" s="1422"/>
      <c r="X723" s="1313">
        <f t="shared" si="8"/>
        <v>0</v>
      </c>
      <c r="Y723" s="1314"/>
      <c r="Z723" s="1314"/>
      <c r="AA723" s="1314"/>
      <c r="AB723" s="1315"/>
      <c r="AC723" s="1554"/>
      <c r="AD723" s="1555"/>
      <c r="AE723" s="1555"/>
      <c r="AF723" s="1555"/>
      <c r="AG723" s="1556"/>
      <c r="AH723" s="1316" t="str">
        <f t="shared" si="36"/>
        <v/>
      </c>
      <c r="AI723" s="1317"/>
      <c r="AJ723" s="1318"/>
      <c r="AK723" s="1310" t="s">
        <v>798</v>
      </c>
      <c r="AL723" s="1311"/>
      <c r="AM723" s="1311"/>
      <c r="AN723" s="1311"/>
      <c r="AO723" s="1312"/>
      <c r="AP723" s="2"/>
      <c r="AQ723" s="2"/>
      <c r="AR723" s="2"/>
      <c r="AS723" s="2"/>
      <c r="AY723" s="69"/>
      <c r="AZ723" s="68" t="str">
        <f t="shared" si="9"/>
        <v>N/A</v>
      </c>
      <c r="BA723" s="2"/>
      <c r="BB723" s="2"/>
      <c r="BC723" s="2"/>
      <c r="BD723" s="2"/>
      <c r="BE723" s="113"/>
      <c r="BF723" s="178">
        <f t="shared" si="10"/>
        <v>0</v>
      </c>
      <c r="BG723" s="181">
        <f t="shared" si="11"/>
        <v>0</v>
      </c>
      <c r="BH723" s="182" t="str">
        <f t="shared" si="12"/>
        <v/>
      </c>
      <c r="BI723" s="2"/>
      <c r="BJ723" s="2"/>
      <c r="BK723" s="2"/>
      <c r="BL723" s="2"/>
      <c r="BM723" s="2"/>
      <c r="BN723" s="2"/>
      <c r="BS723" s="178">
        <f t="shared" si="13"/>
        <v>0</v>
      </c>
      <c r="BT723" s="181">
        <f t="shared" si="14"/>
        <v>0</v>
      </c>
      <c r="BU723" s="182" t="str">
        <f t="shared" si="15"/>
        <v/>
      </c>
      <c r="CC723" s="2"/>
      <c r="CD723" s="2"/>
      <c r="CE723" s="2"/>
      <c r="CF723" s="2"/>
      <c r="CG723" s="1296">
        <f t="shared" si="37"/>
        <v>0</v>
      </c>
      <c r="CH723" s="1298"/>
      <c r="CI723" s="1296">
        <f t="shared" si="38"/>
        <v>0</v>
      </c>
      <c r="CJ723" s="1298"/>
      <c r="CK723" s="1296">
        <f t="shared" si="16"/>
        <v>0</v>
      </c>
      <c r="CL723" s="1298"/>
      <c r="CM723" s="1296">
        <f t="shared" si="17"/>
        <v>0</v>
      </c>
      <c r="CN723" s="1298"/>
      <c r="CO723" s="2"/>
      <c r="CP723" s="1293">
        <f t="shared" si="18"/>
        <v>0</v>
      </c>
      <c r="CQ723" s="1294"/>
      <c r="CR723" s="1294"/>
      <c r="CS723" s="1294"/>
      <c r="CT723" s="1295"/>
      <c r="CU723" s="1309">
        <f t="shared" si="19"/>
        <v>0</v>
      </c>
      <c r="CV723" s="1309"/>
      <c r="CW723" s="1309"/>
      <c r="CX723" s="1309"/>
      <c r="CY723" s="1309"/>
      <c r="CZ723" s="1309">
        <f t="shared" si="20"/>
        <v>0</v>
      </c>
      <c r="DA723" s="1309"/>
      <c r="DB723" s="1309"/>
      <c r="DC723" s="1309"/>
      <c r="DD723" s="1309"/>
      <c r="DE723" s="1309">
        <f t="shared" si="21"/>
        <v>0</v>
      </c>
      <c r="DF723" s="1309"/>
      <c r="DG723" s="1309"/>
      <c r="DH723" s="1309"/>
      <c r="DI723" s="1309"/>
      <c r="DJ723" s="1309">
        <f t="shared" si="22"/>
        <v>0</v>
      </c>
      <c r="DK723" s="1309"/>
      <c r="DL723" s="1309"/>
      <c r="DM723" s="1309"/>
      <c r="DN723" s="1309"/>
      <c r="DO723" s="1309">
        <f t="shared" si="23"/>
        <v>0</v>
      </c>
      <c r="DP723" s="1309"/>
      <c r="DQ723" s="1309"/>
      <c r="DR723" s="1309"/>
      <c r="DS723" s="1309"/>
      <c r="DT723" s="1151"/>
      <c r="DU723" s="1323">
        <f t="shared" si="24"/>
        <v>0</v>
      </c>
      <c r="DV723" s="1323"/>
      <c r="DW723" s="1323"/>
      <c r="DX723" s="1323"/>
      <c r="DY723" s="1323"/>
      <c r="DZ723" s="1323">
        <f t="shared" si="25"/>
        <v>0</v>
      </c>
      <c r="EA723" s="1323"/>
      <c r="EB723" s="1323"/>
      <c r="EC723" s="1323"/>
      <c r="ED723" s="1323"/>
      <c r="EE723" s="1323">
        <f t="shared" si="26"/>
        <v>0</v>
      </c>
      <c r="EF723" s="1323"/>
      <c r="EG723" s="1323"/>
      <c r="EH723" s="1323"/>
      <c r="EI723" s="1323"/>
      <c r="EJ723" s="1323">
        <f t="shared" si="27"/>
        <v>0</v>
      </c>
      <c r="EK723" s="1323"/>
      <c r="EL723" s="1323"/>
      <c r="EM723" s="1323"/>
      <c r="EN723" s="1323"/>
      <c r="EO723" s="1323">
        <f t="shared" si="28"/>
        <v>0</v>
      </c>
      <c r="EP723" s="1323"/>
      <c r="EQ723" s="1323"/>
      <c r="ER723" s="1323"/>
      <c r="ES723" s="1323"/>
      <c r="ET723" s="1323">
        <f t="shared" si="29"/>
        <v>0</v>
      </c>
      <c r="EU723" s="1323"/>
      <c r="EV723" s="1323"/>
      <c r="EW723" s="1323"/>
      <c r="EX723" s="1323"/>
      <c r="EZ723" s="1296" t="str">
        <f t="shared" si="30"/>
        <v/>
      </c>
      <c r="FA723" s="1297"/>
      <c r="FB723" s="1297"/>
      <c r="FC723" s="1297"/>
      <c r="FD723" s="1298"/>
      <c r="FE723" s="1296" t="str">
        <f t="shared" si="31"/>
        <v/>
      </c>
      <c r="FF723" s="1297"/>
      <c r="FG723" s="1297"/>
      <c r="FH723" s="1297"/>
      <c r="FI723" s="1298"/>
      <c r="FJ723" s="1296" t="str">
        <f t="shared" si="32"/>
        <v/>
      </c>
      <c r="FK723" s="1297"/>
      <c r="FL723" s="1297"/>
      <c r="FM723" s="1297"/>
      <c r="FN723" s="1298"/>
      <c r="FO723" s="1296" t="str">
        <f t="shared" si="33"/>
        <v/>
      </c>
      <c r="FP723" s="1297"/>
      <c r="FQ723" s="1297"/>
      <c r="FR723" s="1297"/>
      <c r="FS723" s="1298"/>
      <c r="FT723" s="1296" t="str">
        <f t="shared" si="34"/>
        <v/>
      </c>
      <c r="FU723" s="1297"/>
      <c r="FV723" s="1297"/>
      <c r="FW723" s="1297"/>
      <c r="FX723" s="1298"/>
      <c r="FY723" s="1296" t="str">
        <f t="shared" si="35"/>
        <v/>
      </c>
      <c r="FZ723" s="1297"/>
      <c r="GA723" s="1297"/>
      <c r="GB723" s="1297"/>
      <c r="GC723" s="1298"/>
    </row>
    <row r="724" spans="1:185" ht="13" customHeight="1">
      <c r="B724" s="1310"/>
      <c r="C724" s="1311"/>
      <c r="D724" s="1311"/>
      <c r="E724" s="1311"/>
      <c r="F724" s="1312"/>
      <c r="G724" s="1319"/>
      <c r="H724" s="1320"/>
      <c r="I724" s="1320"/>
      <c r="J724" s="1321"/>
      <c r="K724" s="1545"/>
      <c r="L724" s="1546"/>
      <c r="M724" s="1546"/>
      <c r="N724" s="1547"/>
      <c r="O724" s="1420"/>
      <c r="P724" s="1421"/>
      <c r="Q724" s="1421"/>
      <c r="R724" s="1421"/>
      <c r="S724" s="1422"/>
      <c r="T724" s="1420"/>
      <c r="U724" s="1421"/>
      <c r="V724" s="1421"/>
      <c r="W724" s="1422"/>
      <c r="X724" s="1313">
        <f t="shared" si="8"/>
        <v>0</v>
      </c>
      <c r="Y724" s="1314"/>
      <c r="Z724" s="1314"/>
      <c r="AA724" s="1314"/>
      <c r="AB724" s="1315"/>
      <c r="AC724" s="1554"/>
      <c r="AD724" s="1555"/>
      <c r="AE724" s="1555"/>
      <c r="AF724" s="1555"/>
      <c r="AG724" s="1556"/>
      <c r="AH724" s="1316" t="str">
        <f t="shared" si="36"/>
        <v/>
      </c>
      <c r="AI724" s="1317"/>
      <c r="AJ724" s="1318"/>
      <c r="AK724" s="1310" t="s">
        <v>798</v>
      </c>
      <c r="AL724" s="1311"/>
      <c r="AM724" s="1311"/>
      <c r="AN724" s="1311"/>
      <c r="AO724" s="1312"/>
      <c r="AP724" s="2"/>
      <c r="AQ724" s="2"/>
      <c r="AR724" s="2"/>
      <c r="AS724" s="2"/>
      <c r="AY724" s="69"/>
      <c r="AZ724" s="68" t="str">
        <f t="shared" si="9"/>
        <v>N/A</v>
      </c>
      <c r="BA724" s="2"/>
      <c r="BB724" s="2"/>
      <c r="BC724" s="2"/>
      <c r="BD724" s="2"/>
      <c r="BE724" s="113"/>
      <c r="BF724" s="178">
        <f t="shared" si="10"/>
        <v>0</v>
      </c>
      <c r="BG724" s="181">
        <f t="shared" si="11"/>
        <v>0</v>
      </c>
      <c r="BH724" s="182" t="str">
        <f t="shared" si="12"/>
        <v/>
      </c>
      <c r="BI724" s="2"/>
      <c r="BJ724" s="2"/>
      <c r="BK724" s="2"/>
      <c r="BL724" s="2"/>
      <c r="BM724" s="2"/>
      <c r="BN724" s="2"/>
      <c r="BS724" s="178">
        <f t="shared" si="13"/>
        <v>0</v>
      </c>
      <c r="BT724" s="181">
        <f t="shared" si="14"/>
        <v>0</v>
      </c>
      <c r="BU724" s="182" t="str">
        <f t="shared" si="15"/>
        <v/>
      </c>
      <c r="CC724" s="2"/>
      <c r="CE724" s="2"/>
      <c r="CF724" s="2"/>
      <c r="CG724" s="1296">
        <f t="shared" si="37"/>
        <v>0</v>
      </c>
      <c r="CH724" s="1298"/>
      <c r="CI724" s="1296">
        <f t="shared" si="38"/>
        <v>0</v>
      </c>
      <c r="CJ724" s="1298"/>
      <c r="CK724" s="1296">
        <f t="shared" si="16"/>
        <v>0</v>
      </c>
      <c r="CL724" s="1298"/>
      <c r="CM724" s="1296">
        <f t="shared" si="17"/>
        <v>0</v>
      </c>
      <c r="CN724" s="1298"/>
      <c r="CO724" s="2"/>
      <c r="CP724" s="1293">
        <f t="shared" si="18"/>
        <v>0</v>
      </c>
      <c r="CQ724" s="1294"/>
      <c r="CR724" s="1294"/>
      <c r="CS724" s="1294"/>
      <c r="CT724" s="1295"/>
      <c r="CU724" s="1309">
        <f t="shared" si="19"/>
        <v>0</v>
      </c>
      <c r="CV724" s="1309"/>
      <c r="CW724" s="1309"/>
      <c r="CX724" s="1309"/>
      <c r="CY724" s="1309"/>
      <c r="CZ724" s="1309">
        <f t="shared" si="20"/>
        <v>0</v>
      </c>
      <c r="DA724" s="1309"/>
      <c r="DB724" s="1309"/>
      <c r="DC724" s="1309"/>
      <c r="DD724" s="1309"/>
      <c r="DE724" s="1309">
        <f t="shared" si="21"/>
        <v>0</v>
      </c>
      <c r="DF724" s="1309"/>
      <c r="DG724" s="1309"/>
      <c r="DH724" s="1309"/>
      <c r="DI724" s="1309"/>
      <c r="DJ724" s="1309">
        <f t="shared" si="22"/>
        <v>0</v>
      </c>
      <c r="DK724" s="1309"/>
      <c r="DL724" s="1309"/>
      <c r="DM724" s="1309"/>
      <c r="DN724" s="1309"/>
      <c r="DO724" s="1309">
        <f t="shared" si="23"/>
        <v>0</v>
      </c>
      <c r="DP724" s="1309"/>
      <c r="DQ724" s="1309"/>
      <c r="DR724" s="1309"/>
      <c r="DS724" s="1309"/>
      <c r="DT724" s="1151"/>
      <c r="DU724" s="1323">
        <f t="shared" si="24"/>
        <v>0</v>
      </c>
      <c r="DV724" s="1323"/>
      <c r="DW724" s="1323"/>
      <c r="DX724" s="1323"/>
      <c r="DY724" s="1323"/>
      <c r="DZ724" s="1323">
        <f t="shared" si="25"/>
        <v>0</v>
      </c>
      <c r="EA724" s="1323"/>
      <c r="EB724" s="1323"/>
      <c r="EC724" s="1323"/>
      <c r="ED724" s="1323"/>
      <c r="EE724" s="1323">
        <f t="shared" si="26"/>
        <v>0</v>
      </c>
      <c r="EF724" s="1323"/>
      <c r="EG724" s="1323"/>
      <c r="EH724" s="1323"/>
      <c r="EI724" s="1323"/>
      <c r="EJ724" s="1323">
        <f t="shared" si="27"/>
        <v>0</v>
      </c>
      <c r="EK724" s="1323"/>
      <c r="EL724" s="1323"/>
      <c r="EM724" s="1323"/>
      <c r="EN724" s="1323"/>
      <c r="EO724" s="1323">
        <f t="shared" si="28"/>
        <v>0</v>
      </c>
      <c r="EP724" s="1323"/>
      <c r="EQ724" s="1323"/>
      <c r="ER724" s="1323"/>
      <c r="ES724" s="1323"/>
      <c r="ET724" s="1323">
        <f t="shared" si="29"/>
        <v>0</v>
      </c>
      <c r="EU724" s="1323"/>
      <c r="EV724" s="1323"/>
      <c r="EW724" s="1323"/>
      <c r="EX724" s="1323"/>
      <c r="EZ724" s="1296" t="str">
        <f t="shared" si="30"/>
        <v/>
      </c>
      <c r="FA724" s="1297"/>
      <c r="FB724" s="1297"/>
      <c r="FC724" s="1297"/>
      <c r="FD724" s="1298"/>
      <c r="FE724" s="1296" t="str">
        <f t="shared" si="31"/>
        <v/>
      </c>
      <c r="FF724" s="1297"/>
      <c r="FG724" s="1297"/>
      <c r="FH724" s="1297"/>
      <c r="FI724" s="1298"/>
      <c r="FJ724" s="1296" t="str">
        <f t="shared" si="32"/>
        <v/>
      </c>
      <c r="FK724" s="1297"/>
      <c r="FL724" s="1297"/>
      <c r="FM724" s="1297"/>
      <c r="FN724" s="1298"/>
      <c r="FO724" s="1296" t="str">
        <f t="shared" si="33"/>
        <v/>
      </c>
      <c r="FP724" s="1297"/>
      <c r="FQ724" s="1297"/>
      <c r="FR724" s="1297"/>
      <c r="FS724" s="1298"/>
      <c r="FT724" s="1296" t="str">
        <f t="shared" si="34"/>
        <v/>
      </c>
      <c r="FU724" s="1297"/>
      <c r="FV724" s="1297"/>
      <c r="FW724" s="1297"/>
      <c r="FX724" s="1298"/>
      <c r="FY724" s="1296" t="str">
        <f t="shared" si="35"/>
        <v/>
      </c>
      <c r="FZ724" s="1297"/>
      <c r="GA724" s="1297"/>
      <c r="GB724" s="1297"/>
      <c r="GC724" s="1298"/>
    </row>
    <row r="725" spans="1:185" ht="13" customHeight="1">
      <c r="B725" s="1310"/>
      <c r="C725" s="1311"/>
      <c r="D725" s="1311"/>
      <c r="E725" s="1311"/>
      <c r="F725" s="1312"/>
      <c r="G725" s="1319"/>
      <c r="H725" s="1320"/>
      <c r="I725" s="1320"/>
      <c r="J725" s="1321"/>
      <c r="K725" s="1545"/>
      <c r="L725" s="1546"/>
      <c r="M725" s="1546"/>
      <c r="N725" s="1547"/>
      <c r="O725" s="1420"/>
      <c r="P725" s="1421"/>
      <c r="Q725" s="1421"/>
      <c r="R725" s="1421"/>
      <c r="S725" s="1422"/>
      <c r="T725" s="1420"/>
      <c r="U725" s="1421"/>
      <c r="V725" s="1421"/>
      <c r="W725" s="1422"/>
      <c r="X725" s="1313">
        <f t="shared" si="8"/>
        <v>0</v>
      </c>
      <c r="Y725" s="1314"/>
      <c r="Z725" s="1314"/>
      <c r="AA725" s="1314"/>
      <c r="AB725" s="1315"/>
      <c r="AC725" s="1554"/>
      <c r="AD725" s="1555"/>
      <c r="AE725" s="1555"/>
      <c r="AF725" s="1555"/>
      <c r="AG725" s="1556"/>
      <c r="AH725" s="1316" t="str">
        <f t="shared" si="36"/>
        <v/>
      </c>
      <c r="AI725" s="1317"/>
      <c r="AJ725" s="1318"/>
      <c r="AK725" s="1310" t="s">
        <v>798</v>
      </c>
      <c r="AL725" s="1311"/>
      <c r="AM725" s="1311"/>
      <c r="AN725" s="1311"/>
      <c r="AO725" s="1312"/>
      <c r="AP725" s="2"/>
      <c r="AQ725" s="2"/>
      <c r="AR725" s="2"/>
      <c r="AS725" s="2"/>
      <c r="AY725" s="763"/>
      <c r="AZ725" s="68" t="str">
        <f t="shared" si="9"/>
        <v>N/A</v>
      </c>
      <c r="BA725" s="2"/>
      <c r="BB725" s="2"/>
      <c r="BC725" s="2"/>
      <c r="BD725" s="2"/>
      <c r="BE725" s="113"/>
      <c r="BF725" s="178">
        <f t="shared" si="10"/>
        <v>0</v>
      </c>
      <c r="BG725" s="181">
        <f t="shared" si="11"/>
        <v>0</v>
      </c>
      <c r="BH725" s="182" t="str">
        <f t="shared" si="12"/>
        <v/>
      </c>
      <c r="BI725" s="2"/>
      <c r="BJ725" s="2"/>
      <c r="BK725" s="2"/>
      <c r="BL725" s="2"/>
      <c r="BM725" s="2"/>
      <c r="BN725" s="2"/>
      <c r="BS725" s="178">
        <f t="shared" si="13"/>
        <v>0</v>
      </c>
      <c r="BT725" s="181">
        <f t="shared" si="14"/>
        <v>0</v>
      </c>
      <c r="BU725" s="182" t="str">
        <f t="shared" si="15"/>
        <v/>
      </c>
      <c r="BV725" s="1053"/>
      <c r="BW725" s="2"/>
      <c r="BX725" s="2"/>
      <c r="BY725" s="2"/>
      <c r="BZ725" s="2"/>
      <c r="CA725" s="2"/>
      <c r="CB725" s="2"/>
      <c r="CC725" s="2"/>
      <c r="CE725" s="2"/>
      <c r="CF725" s="2"/>
      <c r="CG725" s="1296">
        <f t="shared" si="37"/>
        <v>0</v>
      </c>
      <c r="CH725" s="1298"/>
      <c r="CI725" s="1296">
        <f t="shared" si="38"/>
        <v>0</v>
      </c>
      <c r="CJ725" s="1298"/>
      <c r="CK725" s="1296">
        <f t="shared" si="16"/>
        <v>0</v>
      </c>
      <c r="CL725" s="1298"/>
      <c r="CM725" s="1296">
        <f t="shared" si="17"/>
        <v>0</v>
      </c>
      <c r="CN725" s="1298"/>
      <c r="CO725" s="2"/>
      <c r="CP725" s="1293">
        <f t="shared" si="18"/>
        <v>0</v>
      </c>
      <c r="CQ725" s="1294"/>
      <c r="CR725" s="1294"/>
      <c r="CS725" s="1294"/>
      <c r="CT725" s="1295"/>
      <c r="CU725" s="1309">
        <f t="shared" si="19"/>
        <v>0</v>
      </c>
      <c r="CV725" s="1309"/>
      <c r="CW725" s="1309"/>
      <c r="CX725" s="1309"/>
      <c r="CY725" s="1309"/>
      <c r="CZ725" s="1309">
        <f t="shared" si="20"/>
        <v>0</v>
      </c>
      <c r="DA725" s="1309"/>
      <c r="DB725" s="1309"/>
      <c r="DC725" s="1309"/>
      <c r="DD725" s="1309"/>
      <c r="DE725" s="1309">
        <f t="shared" si="21"/>
        <v>0</v>
      </c>
      <c r="DF725" s="1309"/>
      <c r="DG725" s="1309"/>
      <c r="DH725" s="1309"/>
      <c r="DI725" s="1309"/>
      <c r="DJ725" s="1309">
        <f t="shared" si="22"/>
        <v>0</v>
      </c>
      <c r="DK725" s="1309"/>
      <c r="DL725" s="1309"/>
      <c r="DM725" s="1309"/>
      <c r="DN725" s="1309"/>
      <c r="DO725" s="1309">
        <f t="shared" si="23"/>
        <v>0</v>
      </c>
      <c r="DP725" s="1309"/>
      <c r="DQ725" s="1309"/>
      <c r="DR725" s="1309"/>
      <c r="DS725" s="1309"/>
      <c r="DT725" s="1151"/>
      <c r="DU725" s="1323">
        <f t="shared" si="24"/>
        <v>0</v>
      </c>
      <c r="DV725" s="1323"/>
      <c r="DW725" s="1323"/>
      <c r="DX725" s="1323"/>
      <c r="DY725" s="1323"/>
      <c r="DZ725" s="1323">
        <f t="shared" si="25"/>
        <v>0</v>
      </c>
      <c r="EA725" s="1323"/>
      <c r="EB725" s="1323"/>
      <c r="EC725" s="1323"/>
      <c r="ED725" s="1323"/>
      <c r="EE725" s="1323">
        <f t="shared" si="26"/>
        <v>0</v>
      </c>
      <c r="EF725" s="1323"/>
      <c r="EG725" s="1323"/>
      <c r="EH725" s="1323"/>
      <c r="EI725" s="1323"/>
      <c r="EJ725" s="1323">
        <f t="shared" si="27"/>
        <v>0</v>
      </c>
      <c r="EK725" s="1323"/>
      <c r="EL725" s="1323"/>
      <c r="EM725" s="1323"/>
      <c r="EN725" s="1323"/>
      <c r="EO725" s="1323">
        <f t="shared" si="28"/>
        <v>0</v>
      </c>
      <c r="EP725" s="1323"/>
      <c r="EQ725" s="1323"/>
      <c r="ER725" s="1323"/>
      <c r="ES725" s="1323"/>
      <c r="ET725" s="1323">
        <f t="shared" si="29"/>
        <v>0</v>
      </c>
      <c r="EU725" s="1323"/>
      <c r="EV725" s="1323"/>
      <c r="EW725" s="1323"/>
      <c r="EX725" s="1323"/>
      <c r="EZ725" s="1296" t="str">
        <f t="shared" si="30"/>
        <v/>
      </c>
      <c r="FA725" s="1297"/>
      <c r="FB725" s="1297"/>
      <c r="FC725" s="1297"/>
      <c r="FD725" s="1298"/>
      <c r="FE725" s="1296" t="str">
        <f t="shared" si="31"/>
        <v/>
      </c>
      <c r="FF725" s="1297"/>
      <c r="FG725" s="1297"/>
      <c r="FH725" s="1297"/>
      <c r="FI725" s="1298"/>
      <c r="FJ725" s="1296" t="str">
        <f t="shared" si="32"/>
        <v/>
      </c>
      <c r="FK725" s="1297"/>
      <c r="FL725" s="1297"/>
      <c r="FM725" s="1297"/>
      <c r="FN725" s="1298"/>
      <c r="FO725" s="1296" t="str">
        <f t="shared" si="33"/>
        <v/>
      </c>
      <c r="FP725" s="1297"/>
      <c r="FQ725" s="1297"/>
      <c r="FR725" s="1297"/>
      <c r="FS725" s="1298"/>
      <c r="FT725" s="1296" t="str">
        <f t="shared" si="34"/>
        <v/>
      </c>
      <c r="FU725" s="1297"/>
      <c r="FV725" s="1297"/>
      <c r="FW725" s="1297"/>
      <c r="FX725" s="1298"/>
      <c r="FY725" s="1296" t="str">
        <f t="shared" si="35"/>
        <v/>
      </c>
      <c r="FZ725" s="1297"/>
      <c r="GA725" s="1297"/>
      <c r="GB725" s="1297"/>
      <c r="GC725" s="1298"/>
    </row>
    <row r="726" spans="1:185" ht="13" customHeight="1">
      <c r="B726" s="1310"/>
      <c r="C726" s="1311"/>
      <c r="D726" s="1311"/>
      <c r="E726" s="1311"/>
      <c r="F726" s="1312"/>
      <c r="G726" s="1319"/>
      <c r="H726" s="1320"/>
      <c r="I726" s="1320"/>
      <c r="J726" s="1321"/>
      <c r="K726" s="1545"/>
      <c r="L726" s="1546"/>
      <c r="M726" s="1546"/>
      <c r="N726" s="1547"/>
      <c r="O726" s="1420"/>
      <c r="P726" s="1421"/>
      <c r="Q726" s="1421"/>
      <c r="R726" s="1421"/>
      <c r="S726" s="1422"/>
      <c r="T726" s="1420"/>
      <c r="U726" s="1421"/>
      <c r="V726" s="1421"/>
      <c r="W726" s="1422"/>
      <c r="X726" s="1313">
        <f t="shared" si="8"/>
        <v>0</v>
      </c>
      <c r="Y726" s="1314"/>
      <c r="Z726" s="1314"/>
      <c r="AA726" s="1314"/>
      <c r="AB726" s="1315"/>
      <c r="AC726" s="1554"/>
      <c r="AD726" s="1555"/>
      <c r="AE726" s="1555"/>
      <c r="AF726" s="1555"/>
      <c r="AG726" s="1556"/>
      <c r="AH726" s="1316" t="str">
        <f t="shared" si="36"/>
        <v/>
      </c>
      <c r="AI726" s="1317"/>
      <c r="AJ726" s="1318"/>
      <c r="AK726" s="1310" t="s">
        <v>798</v>
      </c>
      <c r="AL726" s="1311"/>
      <c r="AM726" s="1311"/>
      <c r="AN726" s="1311"/>
      <c r="AO726" s="1312"/>
      <c r="AP726" s="2"/>
      <c r="AQ726" s="2"/>
      <c r="AR726" s="2"/>
      <c r="AS726" s="2"/>
      <c r="AY726" s="763"/>
      <c r="AZ726" s="68" t="str">
        <f t="shared" si="9"/>
        <v>N/A</v>
      </c>
      <c r="BA726" s="2"/>
      <c r="BB726" s="2"/>
      <c r="BC726" s="2"/>
      <c r="BD726" s="2"/>
      <c r="BE726" s="113"/>
      <c r="BF726" s="178">
        <f t="shared" si="10"/>
        <v>0</v>
      </c>
      <c r="BG726" s="181">
        <f t="shared" si="11"/>
        <v>0</v>
      </c>
      <c r="BH726" s="182" t="str">
        <f t="shared" si="12"/>
        <v/>
      </c>
      <c r="BI726" s="2"/>
      <c r="BJ726" s="2"/>
      <c r="BK726" s="2"/>
      <c r="BL726" s="2"/>
      <c r="BM726" s="2"/>
      <c r="BN726" s="2"/>
      <c r="BS726" s="178">
        <f t="shared" si="13"/>
        <v>0</v>
      </c>
      <c r="BT726" s="181">
        <f t="shared" si="14"/>
        <v>0</v>
      </c>
      <c r="BU726" s="182" t="str">
        <f t="shared" si="15"/>
        <v/>
      </c>
      <c r="BV726" s="2"/>
      <c r="BW726" s="2"/>
      <c r="BX726" s="2"/>
      <c r="BY726" s="2"/>
      <c r="BZ726" s="2"/>
      <c r="CA726" s="2"/>
      <c r="CB726" s="2"/>
      <c r="CC726" s="2"/>
      <c r="CE726" s="2"/>
      <c r="CF726" s="2"/>
      <c r="CG726" s="1296">
        <f t="shared" si="37"/>
        <v>0</v>
      </c>
      <c r="CH726" s="1298"/>
      <c r="CI726" s="1296">
        <f t="shared" si="38"/>
        <v>0</v>
      </c>
      <c r="CJ726" s="1298"/>
      <c r="CK726" s="1296">
        <f t="shared" si="16"/>
        <v>0</v>
      </c>
      <c r="CL726" s="1298"/>
      <c r="CM726" s="1296">
        <f t="shared" si="17"/>
        <v>0</v>
      </c>
      <c r="CN726" s="1298"/>
      <c r="CO726" s="2"/>
      <c r="CP726" s="1293">
        <f t="shared" si="18"/>
        <v>0</v>
      </c>
      <c r="CQ726" s="1294"/>
      <c r="CR726" s="1294"/>
      <c r="CS726" s="1294"/>
      <c r="CT726" s="1295"/>
      <c r="CU726" s="1309">
        <f t="shared" si="19"/>
        <v>0</v>
      </c>
      <c r="CV726" s="1309"/>
      <c r="CW726" s="1309"/>
      <c r="CX726" s="1309"/>
      <c r="CY726" s="1309"/>
      <c r="CZ726" s="1309">
        <f t="shared" si="20"/>
        <v>0</v>
      </c>
      <c r="DA726" s="1309"/>
      <c r="DB726" s="1309"/>
      <c r="DC726" s="1309"/>
      <c r="DD726" s="1309"/>
      <c r="DE726" s="1309">
        <f t="shared" si="21"/>
        <v>0</v>
      </c>
      <c r="DF726" s="1309"/>
      <c r="DG726" s="1309"/>
      <c r="DH726" s="1309"/>
      <c r="DI726" s="1309"/>
      <c r="DJ726" s="1309">
        <f t="shared" si="22"/>
        <v>0</v>
      </c>
      <c r="DK726" s="1309"/>
      <c r="DL726" s="1309"/>
      <c r="DM726" s="1309"/>
      <c r="DN726" s="1309"/>
      <c r="DO726" s="1309">
        <f t="shared" si="23"/>
        <v>0</v>
      </c>
      <c r="DP726" s="1309"/>
      <c r="DQ726" s="1309"/>
      <c r="DR726" s="1309"/>
      <c r="DS726" s="1309"/>
      <c r="DT726" s="1151"/>
      <c r="DU726" s="1323">
        <f t="shared" si="24"/>
        <v>0</v>
      </c>
      <c r="DV726" s="1323"/>
      <c r="DW726" s="1323"/>
      <c r="DX726" s="1323"/>
      <c r="DY726" s="1323"/>
      <c r="DZ726" s="1323">
        <f t="shared" si="25"/>
        <v>0</v>
      </c>
      <c r="EA726" s="1323"/>
      <c r="EB726" s="1323"/>
      <c r="EC726" s="1323"/>
      <c r="ED726" s="1323"/>
      <c r="EE726" s="1323">
        <f t="shared" si="26"/>
        <v>0</v>
      </c>
      <c r="EF726" s="1323"/>
      <c r="EG726" s="1323"/>
      <c r="EH726" s="1323"/>
      <c r="EI726" s="1323"/>
      <c r="EJ726" s="1323">
        <f t="shared" si="27"/>
        <v>0</v>
      </c>
      <c r="EK726" s="1323"/>
      <c r="EL726" s="1323"/>
      <c r="EM726" s="1323"/>
      <c r="EN726" s="1323"/>
      <c r="EO726" s="1323">
        <f t="shared" si="28"/>
        <v>0</v>
      </c>
      <c r="EP726" s="1323"/>
      <c r="EQ726" s="1323"/>
      <c r="ER726" s="1323"/>
      <c r="ES726" s="1323"/>
      <c r="ET726" s="1323">
        <f t="shared" si="29"/>
        <v>0</v>
      </c>
      <c r="EU726" s="1323"/>
      <c r="EV726" s="1323"/>
      <c r="EW726" s="1323"/>
      <c r="EX726" s="1323"/>
      <c r="EY726" s="2"/>
      <c r="EZ726" s="1296" t="str">
        <f t="shared" si="30"/>
        <v/>
      </c>
      <c r="FA726" s="1297"/>
      <c r="FB726" s="1297"/>
      <c r="FC726" s="1297"/>
      <c r="FD726" s="1298"/>
      <c r="FE726" s="1296" t="str">
        <f t="shared" si="31"/>
        <v/>
      </c>
      <c r="FF726" s="1297"/>
      <c r="FG726" s="1297"/>
      <c r="FH726" s="1297"/>
      <c r="FI726" s="1298"/>
      <c r="FJ726" s="1296" t="str">
        <f t="shared" si="32"/>
        <v/>
      </c>
      <c r="FK726" s="1297"/>
      <c r="FL726" s="1297"/>
      <c r="FM726" s="1297"/>
      <c r="FN726" s="1298"/>
      <c r="FO726" s="1296" t="str">
        <f t="shared" si="33"/>
        <v/>
      </c>
      <c r="FP726" s="1297"/>
      <c r="FQ726" s="1297"/>
      <c r="FR726" s="1297"/>
      <c r="FS726" s="1298"/>
      <c r="FT726" s="1296" t="str">
        <f t="shared" si="34"/>
        <v/>
      </c>
      <c r="FU726" s="1297"/>
      <c r="FV726" s="1297"/>
      <c r="FW726" s="1297"/>
      <c r="FX726" s="1298"/>
      <c r="FY726" s="1296" t="str">
        <f t="shared" si="35"/>
        <v/>
      </c>
      <c r="FZ726" s="1297"/>
      <c r="GA726" s="1297"/>
      <c r="GB726" s="1297"/>
      <c r="GC726" s="1298"/>
    </row>
    <row r="727" spans="1:185" ht="13" customHeight="1">
      <c r="A727" s="2"/>
      <c r="B727" s="1310"/>
      <c r="C727" s="1311"/>
      <c r="D727" s="1311"/>
      <c r="E727" s="1311"/>
      <c r="F727" s="1312"/>
      <c r="G727" s="1319"/>
      <c r="H727" s="1320"/>
      <c r="I727" s="1320"/>
      <c r="J727" s="1321"/>
      <c r="K727" s="1545"/>
      <c r="L727" s="1546"/>
      <c r="M727" s="1546"/>
      <c r="N727" s="1547"/>
      <c r="O727" s="1420"/>
      <c r="P727" s="1421"/>
      <c r="Q727" s="1421"/>
      <c r="R727" s="1421"/>
      <c r="S727" s="1422"/>
      <c r="T727" s="1420"/>
      <c r="U727" s="1421"/>
      <c r="V727" s="1421"/>
      <c r="W727" s="1422"/>
      <c r="X727" s="1313">
        <f t="shared" si="8"/>
        <v>0</v>
      </c>
      <c r="Y727" s="1314"/>
      <c r="Z727" s="1314"/>
      <c r="AA727" s="1314"/>
      <c r="AB727" s="1315"/>
      <c r="AC727" s="1554"/>
      <c r="AD727" s="1555"/>
      <c r="AE727" s="1555"/>
      <c r="AF727" s="1555"/>
      <c r="AG727" s="1556"/>
      <c r="AH727" s="1316" t="str">
        <f t="shared" si="36"/>
        <v/>
      </c>
      <c r="AI727" s="1317"/>
      <c r="AJ727" s="1318"/>
      <c r="AK727" s="1310" t="s">
        <v>798</v>
      </c>
      <c r="AL727" s="1311"/>
      <c r="AM727" s="1311"/>
      <c r="AN727" s="1311"/>
      <c r="AO727" s="1312"/>
      <c r="AP727" s="2"/>
      <c r="AQ727" s="2"/>
      <c r="AR727" s="2"/>
      <c r="AS727" s="2"/>
      <c r="AY727" s="763"/>
      <c r="AZ727" s="68" t="str">
        <f t="shared" si="9"/>
        <v>N/A</v>
      </c>
      <c r="BA727" s="2"/>
      <c r="BB727" s="2"/>
      <c r="BC727" s="2"/>
      <c r="BD727" s="2"/>
      <c r="BE727" s="113"/>
      <c r="BF727" s="178">
        <f t="shared" si="10"/>
        <v>0</v>
      </c>
      <c r="BG727" s="181">
        <f t="shared" si="11"/>
        <v>0</v>
      </c>
      <c r="BH727" s="182" t="str">
        <f t="shared" si="12"/>
        <v/>
      </c>
      <c r="BI727" s="2"/>
      <c r="BJ727" s="2"/>
      <c r="BK727" s="2"/>
      <c r="BL727" s="2"/>
      <c r="BM727" s="2"/>
      <c r="BN727" s="2"/>
      <c r="BS727" s="178">
        <f t="shared" si="13"/>
        <v>0</v>
      </c>
      <c r="BT727" s="181">
        <f t="shared" si="14"/>
        <v>0</v>
      </c>
      <c r="BU727" s="182" t="str">
        <f t="shared" si="15"/>
        <v/>
      </c>
      <c r="BV727" s="2"/>
      <c r="BW727" s="2"/>
      <c r="BX727" s="2"/>
      <c r="BY727" s="2"/>
      <c r="BZ727" s="2"/>
      <c r="CA727" s="2"/>
      <c r="CB727" s="2"/>
      <c r="CC727" s="2"/>
      <c r="CE727" s="2"/>
      <c r="CF727" s="2"/>
      <c r="CG727" s="1296">
        <f t="shared" si="37"/>
        <v>0</v>
      </c>
      <c r="CH727" s="1298"/>
      <c r="CI727" s="1296">
        <f t="shared" si="38"/>
        <v>0</v>
      </c>
      <c r="CJ727" s="1298"/>
      <c r="CK727" s="1296">
        <f t="shared" si="16"/>
        <v>0</v>
      </c>
      <c r="CL727" s="1298"/>
      <c r="CM727" s="1296">
        <f t="shared" si="17"/>
        <v>0</v>
      </c>
      <c r="CN727" s="1298"/>
      <c r="CO727" s="2"/>
      <c r="CP727" s="1293">
        <f t="shared" si="18"/>
        <v>0</v>
      </c>
      <c r="CQ727" s="1294"/>
      <c r="CR727" s="1294"/>
      <c r="CS727" s="1294"/>
      <c r="CT727" s="1295"/>
      <c r="CU727" s="1309">
        <f t="shared" si="19"/>
        <v>0</v>
      </c>
      <c r="CV727" s="1309"/>
      <c r="CW727" s="1309"/>
      <c r="CX727" s="1309"/>
      <c r="CY727" s="1309"/>
      <c r="CZ727" s="1309">
        <f t="shared" si="20"/>
        <v>0</v>
      </c>
      <c r="DA727" s="1309"/>
      <c r="DB727" s="1309"/>
      <c r="DC727" s="1309"/>
      <c r="DD727" s="1309"/>
      <c r="DE727" s="1309">
        <f t="shared" si="21"/>
        <v>0</v>
      </c>
      <c r="DF727" s="1309"/>
      <c r="DG727" s="1309"/>
      <c r="DH727" s="1309"/>
      <c r="DI727" s="1309"/>
      <c r="DJ727" s="1309">
        <f t="shared" si="22"/>
        <v>0</v>
      </c>
      <c r="DK727" s="1309"/>
      <c r="DL727" s="1309"/>
      <c r="DM727" s="1309"/>
      <c r="DN727" s="1309"/>
      <c r="DO727" s="1309">
        <f t="shared" si="23"/>
        <v>0</v>
      </c>
      <c r="DP727" s="1309"/>
      <c r="DQ727" s="1309"/>
      <c r="DR727" s="1309"/>
      <c r="DS727" s="1309"/>
      <c r="DT727" s="1151"/>
      <c r="DU727" s="1323">
        <f t="shared" si="24"/>
        <v>0</v>
      </c>
      <c r="DV727" s="1323"/>
      <c r="DW727" s="1323"/>
      <c r="DX727" s="1323"/>
      <c r="DY727" s="1323"/>
      <c r="DZ727" s="1323">
        <f t="shared" si="25"/>
        <v>0</v>
      </c>
      <c r="EA727" s="1323"/>
      <c r="EB727" s="1323"/>
      <c r="EC727" s="1323"/>
      <c r="ED727" s="1323"/>
      <c r="EE727" s="1323">
        <f t="shared" si="26"/>
        <v>0</v>
      </c>
      <c r="EF727" s="1323"/>
      <c r="EG727" s="1323"/>
      <c r="EH727" s="1323"/>
      <c r="EI727" s="1323"/>
      <c r="EJ727" s="1323">
        <f t="shared" si="27"/>
        <v>0</v>
      </c>
      <c r="EK727" s="1323"/>
      <c r="EL727" s="1323"/>
      <c r="EM727" s="1323"/>
      <c r="EN727" s="1323"/>
      <c r="EO727" s="1323">
        <f t="shared" si="28"/>
        <v>0</v>
      </c>
      <c r="EP727" s="1323"/>
      <c r="EQ727" s="1323"/>
      <c r="ER727" s="1323"/>
      <c r="ES727" s="1323"/>
      <c r="ET727" s="1323">
        <f t="shared" si="29"/>
        <v>0</v>
      </c>
      <c r="EU727" s="1323"/>
      <c r="EV727" s="1323"/>
      <c r="EW727" s="1323"/>
      <c r="EX727" s="1323"/>
      <c r="EY727" s="2"/>
      <c r="EZ727" s="1296" t="str">
        <f t="shared" si="30"/>
        <v/>
      </c>
      <c r="FA727" s="1297"/>
      <c r="FB727" s="1297"/>
      <c r="FC727" s="1297"/>
      <c r="FD727" s="1298"/>
      <c r="FE727" s="1296" t="str">
        <f t="shared" si="31"/>
        <v/>
      </c>
      <c r="FF727" s="1297"/>
      <c r="FG727" s="1297"/>
      <c r="FH727" s="1297"/>
      <c r="FI727" s="1298"/>
      <c r="FJ727" s="1296" t="str">
        <f t="shared" si="32"/>
        <v/>
      </c>
      <c r="FK727" s="1297"/>
      <c r="FL727" s="1297"/>
      <c r="FM727" s="1297"/>
      <c r="FN727" s="1298"/>
      <c r="FO727" s="1296" t="str">
        <f t="shared" si="33"/>
        <v/>
      </c>
      <c r="FP727" s="1297"/>
      <c r="FQ727" s="1297"/>
      <c r="FR727" s="1297"/>
      <c r="FS727" s="1298"/>
      <c r="FT727" s="1296" t="str">
        <f t="shared" si="34"/>
        <v/>
      </c>
      <c r="FU727" s="1297"/>
      <c r="FV727" s="1297"/>
      <c r="FW727" s="1297"/>
      <c r="FX727" s="1298"/>
      <c r="FY727" s="1296" t="str">
        <f t="shared" si="35"/>
        <v/>
      </c>
      <c r="FZ727" s="1297"/>
      <c r="GA727" s="1297"/>
      <c r="GB727" s="1297"/>
      <c r="GC727" s="1298"/>
    </row>
    <row r="728" spans="1:185" ht="13" customHeight="1">
      <c r="A728" s="2"/>
      <c r="B728" s="1310"/>
      <c r="C728" s="1311"/>
      <c r="D728" s="1311"/>
      <c r="E728" s="1311"/>
      <c r="F728" s="1312"/>
      <c r="G728" s="1319"/>
      <c r="H728" s="1320"/>
      <c r="I728" s="1320"/>
      <c r="J728" s="1321"/>
      <c r="K728" s="1545"/>
      <c r="L728" s="1546"/>
      <c r="M728" s="1546"/>
      <c r="N728" s="1547"/>
      <c r="O728" s="1420"/>
      <c r="P728" s="1421"/>
      <c r="Q728" s="1421"/>
      <c r="R728" s="1421"/>
      <c r="S728" s="1422"/>
      <c r="T728" s="1420"/>
      <c r="U728" s="1421"/>
      <c r="V728" s="1421"/>
      <c r="W728" s="1422"/>
      <c r="X728" s="1313">
        <f t="shared" si="8"/>
        <v>0</v>
      </c>
      <c r="Y728" s="1314"/>
      <c r="Z728" s="1314"/>
      <c r="AA728" s="1314"/>
      <c r="AB728" s="1315"/>
      <c r="AC728" s="1554"/>
      <c r="AD728" s="1555"/>
      <c r="AE728" s="1555"/>
      <c r="AF728" s="1555"/>
      <c r="AG728" s="1556"/>
      <c r="AH728" s="1316" t="str">
        <f t="shared" si="36"/>
        <v/>
      </c>
      <c r="AI728" s="1317"/>
      <c r="AJ728" s="1318"/>
      <c r="AK728" s="1310" t="s">
        <v>798</v>
      </c>
      <c r="AL728" s="1311"/>
      <c r="AM728" s="1311"/>
      <c r="AN728" s="1311"/>
      <c r="AO728" s="1312"/>
      <c r="AP728" s="2"/>
      <c r="AQ728" s="2"/>
      <c r="AR728" s="2"/>
      <c r="AS728" s="2"/>
      <c r="AY728" s="763"/>
      <c r="AZ728" s="68" t="str">
        <f t="shared" si="9"/>
        <v>N/A</v>
      </c>
      <c r="BA728" s="2"/>
      <c r="BB728" s="2"/>
      <c r="BC728" s="2"/>
      <c r="BD728" s="2"/>
      <c r="BE728" s="113"/>
      <c r="BF728" s="178">
        <f t="shared" si="10"/>
        <v>0</v>
      </c>
      <c r="BG728" s="181">
        <f t="shared" si="11"/>
        <v>0</v>
      </c>
      <c r="BH728" s="182" t="str">
        <f t="shared" si="12"/>
        <v/>
      </c>
      <c r="BI728" s="2"/>
      <c r="BJ728" s="2"/>
      <c r="BK728" s="2"/>
      <c r="BL728" s="2"/>
      <c r="BM728" s="2"/>
      <c r="BN728" s="2"/>
      <c r="BS728" s="178">
        <f t="shared" si="13"/>
        <v>0</v>
      </c>
      <c r="BT728" s="181">
        <f t="shared" si="14"/>
        <v>0</v>
      </c>
      <c r="BU728" s="182" t="str">
        <f t="shared" si="15"/>
        <v/>
      </c>
      <c r="BV728" s="2"/>
      <c r="BW728" s="2"/>
      <c r="BX728" s="2"/>
      <c r="BY728" s="2"/>
      <c r="BZ728" s="2"/>
      <c r="CA728" s="2"/>
      <c r="CB728" s="2"/>
      <c r="CC728" s="2"/>
      <c r="CE728" s="2"/>
      <c r="CF728" s="2"/>
      <c r="CG728" s="1296">
        <f t="shared" si="37"/>
        <v>0</v>
      </c>
      <c r="CH728" s="1298"/>
      <c r="CI728" s="1296">
        <f t="shared" si="38"/>
        <v>0</v>
      </c>
      <c r="CJ728" s="1298"/>
      <c r="CK728" s="1296">
        <f t="shared" si="16"/>
        <v>0</v>
      </c>
      <c r="CL728" s="1298"/>
      <c r="CM728" s="1296">
        <f t="shared" si="17"/>
        <v>0</v>
      </c>
      <c r="CN728" s="1298"/>
      <c r="CO728" s="2"/>
      <c r="CP728" s="1293">
        <f t="shared" si="18"/>
        <v>0</v>
      </c>
      <c r="CQ728" s="1294"/>
      <c r="CR728" s="1294"/>
      <c r="CS728" s="1294"/>
      <c r="CT728" s="1295"/>
      <c r="CU728" s="1309">
        <f t="shared" si="19"/>
        <v>0</v>
      </c>
      <c r="CV728" s="1309"/>
      <c r="CW728" s="1309"/>
      <c r="CX728" s="1309"/>
      <c r="CY728" s="1309"/>
      <c r="CZ728" s="1309">
        <f t="shared" si="20"/>
        <v>0</v>
      </c>
      <c r="DA728" s="1309"/>
      <c r="DB728" s="1309"/>
      <c r="DC728" s="1309"/>
      <c r="DD728" s="1309"/>
      <c r="DE728" s="1309">
        <f t="shared" si="21"/>
        <v>0</v>
      </c>
      <c r="DF728" s="1309"/>
      <c r="DG728" s="1309"/>
      <c r="DH728" s="1309"/>
      <c r="DI728" s="1309"/>
      <c r="DJ728" s="1309">
        <f t="shared" si="22"/>
        <v>0</v>
      </c>
      <c r="DK728" s="1309"/>
      <c r="DL728" s="1309"/>
      <c r="DM728" s="1309"/>
      <c r="DN728" s="1309"/>
      <c r="DO728" s="1309">
        <f t="shared" si="23"/>
        <v>0</v>
      </c>
      <c r="DP728" s="1309"/>
      <c r="DQ728" s="1309"/>
      <c r="DR728" s="1309"/>
      <c r="DS728" s="1309"/>
      <c r="DT728" s="1151"/>
      <c r="DU728" s="1323">
        <f t="shared" si="24"/>
        <v>0</v>
      </c>
      <c r="DV728" s="1323"/>
      <c r="DW728" s="1323"/>
      <c r="DX728" s="1323"/>
      <c r="DY728" s="1323"/>
      <c r="DZ728" s="1323">
        <f t="shared" si="25"/>
        <v>0</v>
      </c>
      <c r="EA728" s="1323"/>
      <c r="EB728" s="1323"/>
      <c r="EC728" s="1323"/>
      <c r="ED728" s="1323"/>
      <c r="EE728" s="1323">
        <f t="shared" si="26"/>
        <v>0</v>
      </c>
      <c r="EF728" s="1323"/>
      <c r="EG728" s="1323"/>
      <c r="EH728" s="1323"/>
      <c r="EI728" s="1323"/>
      <c r="EJ728" s="1323">
        <f t="shared" si="27"/>
        <v>0</v>
      </c>
      <c r="EK728" s="1323"/>
      <c r="EL728" s="1323"/>
      <c r="EM728" s="1323"/>
      <c r="EN728" s="1323"/>
      <c r="EO728" s="1323">
        <f t="shared" si="28"/>
        <v>0</v>
      </c>
      <c r="EP728" s="1323"/>
      <c r="EQ728" s="1323"/>
      <c r="ER728" s="1323"/>
      <c r="ES728" s="1323"/>
      <c r="ET728" s="1323">
        <f t="shared" si="29"/>
        <v>0</v>
      </c>
      <c r="EU728" s="1323"/>
      <c r="EV728" s="1323"/>
      <c r="EW728" s="1323"/>
      <c r="EX728" s="1323"/>
      <c r="EY728" s="2"/>
      <c r="EZ728" s="1296" t="str">
        <f t="shared" si="30"/>
        <v/>
      </c>
      <c r="FA728" s="1297"/>
      <c r="FB728" s="1297"/>
      <c r="FC728" s="1297"/>
      <c r="FD728" s="1298"/>
      <c r="FE728" s="1296" t="str">
        <f t="shared" si="31"/>
        <v/>
      </c>
      <c r="FF728" s="1297"/>
      <c r="FG728" s="1297"/>
      <c r="FH728" s="1297"/>
      <c r="FI728" s="1298"/>
      <c r="FJ728" s="1296" t="str">
        <f t="shared" si="32"/>
        <v/>
      </c>
      <c r="FK728" s="1297"/>
      <c r="FL728" s="1297"/>
      <c r="FM728" s="1297"/>
      <c r="FN728" s="1298"/>
      <c r="FO728" s="1296" t="str">
        <f t="shared" si="33"/>
        <v/>
      </c>
      <c r="FP728" s="1297"/>
      <c r="FQ728" s="1297"/>
      <c r="FR728" s="1297"/>
      <c r="FS728" s="1298"/>
      <c r="FT728" s="1296" t="str">
        <f t="shared" si="34"/>
        <v/>
      </c>
      <c r="FU728" s="1297"/>
      <c r="FV728" s="1297"/>
      <c r="FW728" s="1297"/>
      <c r="FX728" s="1298"/>
      <c r="FY728" s="1296" t="str">
        <f t="shared" si="35"/>
        <v/>
      </c>
      <c r="FZ728" s="1297"/>
      <c r="GA728" s="1297"/>
      <c r="GB728" s="1297"/>
      <c r="GC728" s="1298"/>
    </row>
    <row r="729" spans="1:185" ht="13" customHeight="1">
      <c r="A729" s="2"/>
      <c r="B729" s="1310"/>
      <c r="C729" s="1311"/>
      <c r="D729" s="1311"/>
      <c r="E729" s="1311"/>
      <c r="F729" s="1312"/>
      <c r="G729" s="1319"/>
      <c r="H729" s="1320"/>
      <c r="I729" s="1320"/>
      <c r="J729" s="1321"/>
      <c r="K729" s="1545"/>
      <c r="L729" s="1546"/>
      <c r="M729" s="1546"/>
      <c r="N729" s="1547"/>
      <c r="O729" s="1420"/>
      <c r="P729" s="1421"/>
      <c r="Q729" s="1421"/>
      <c r="R729" s="1421"/>
      <c r="S729" s="1422"/>
      <c r="T729" s="1420"/>
      <c r="U729" s="1421"/>
      <c r="V729" s="1421"/>
      <c r="W729" s="1422"/>
      <c r="X729" s="1313">
        <f t="shared" si="8"/>
        <v>0</v>
      </c>
      <c r="Y729" s="1314"/>
      <c r="Z729" s="1314"/>
      <c r="AA729" s="1314"/>
      <c r="AB729" s="1315"/>
      <c r="AC729" s="1554"/>
      <c r="AD729" s="1555"/>
      <c r="AE729" s="1555"/>
      <c r="AF729" s="1555"/>
      <c r="AG729" s="1556"/>
      <c r="AH729" s="1316" t="str">
        <f t="shared" si="36"/>
        <v/>
      </c>
      <c r="AI729" s="1317"/>
      <c r="AJ729" s="1318"/>
      <c r="AK729" s="1310" t="s">
        <v>798</v>
      </c>
      <c r="AL729" s="1311"/>
      <c r="AM729" s="1311"/>
      <c r="AN729" s="1311"/>
      <c r="AO729" s="1312"/>
      <c r="AP729" s="2"/>
      <c r="AQ729" s="2"/>
      <c r="AR729" s="2"/>
      <c r="AS729" s="2"/>
      <c r="AY729" s="763"/>
      <c r="AZ729" s="68" t="str">
        <f t="shared" si="9"/>
        <v>N/A</v>
      </c>
      <c r="BA729" s="2"/>
      <c r="BB729" s="2"/>
      <c r="BC729" s="2"/>
      <c r="BD729" s="2"/>
      <c r="BE729" s="113"/>
      <c r="BF729" s="178">
        <f t="shared" si="10"/>
        <v>0</v>
      </c>
      <c r="BG729" s="181">
        <f t="shared" si="11"/>
        <v>0</v>
      </c>
      <c r="BH729" s="182" t="str">
        <f t="shared" si="12"/>
        <v/>
      </c>
      <c r="BI729" s="2"/>
      <c r="BJ729" s="2"/>
      <c r="BK729" s="2"/>
      <c r="BL729" s="2"/>
      <c r="BM729" s="2"/>
      <c r="BN729" s="2"/>
      <c r="BS729" s="178">
        <f t="shared" si="13"/>
        <v>0</v>
      </c>
      <c r="BT729" s="181">
        <f t="shared" si="14"/>
        <v>0</v>
      </c>
      <c r="BU729" s="182" t="str">
        <f t="shared" si="15"/>
        <v/>
      </c>
      <c r="BV729" s="2"/>
      <c r="BW729" s="2"/>
      <c r="BX729" s="2"/>
      <c r="BY729" s="2"/>
      <c r="BZ729" s="2"/>
      <c r="CA729" s="2"/>
      <c r="CB729" s="2"/>
      <c r="CC729" s="2"/>
      <c r="CE729" s="2"/>
      <c r="CF729" s="2"/>
      <c r="CG729" s="1296">
        <f t="shared" si="37"/>
        <v>0</v>
      </c>
      <c r="CH729" s="1298"/>
      <c r="CI729" s="1296">
        <f t="shared" si="38"/>
        <v>0</v>
      </c>
      <c r="CJ729" s="1298"/>
      <c r="CK729" s="1296">
        <f t="shared" si="16"/>
        <v>0</v>
      </c>
      <c r="CL729" s="1298"/>
      <c r="CM729" s="1296">
        <f t="shared" si="17"/>
        <v>0</v>
      </c>
      <c r="CN729" s="1298"/>
      <c r="CO729" s="2"/>
      <c r="CP729" s="1293">
        <f t="shared" si="18"/>
        <v>0</v>
      </c>
      <c r="CQ729" s="1294"/>
      <c r="CR729" s="1294"/>
      <c r="CS729" s="1294"/>
      <c r="CT729" s="1295"/>
      <c r="CU729" s="1309">
        <f t="shared" si="19"/>
        <v>0</v>
      </c>
      <c r="CV729" s="1309"/>
      <c r="CW729" s="1309"/>
      <c r="CX729" s="1309"/>
      <c r="CY729" s="1309"/>
      <c r="CZ729" s="1309">
        <f t="shared" si="20"/>
        <v>0</v>
      </c>
      <c r="DA729" s="1309"/>
      <c r="DB729" s="1309"/>
      <c r="DC729" s="1309"/>
      <c r="DD729" s="1309"/>
      <c r="DE729" s="1309">
        <f t="shared" si="21"/>
        <v>0</v>
      </c>
      <c r="DF729" s="1309"/>
      <c r="DG729" s="1309"/>
      <c r="DH729" s="1309"/>
      <c r="DI729" s="1309"/>
      <c r="DJ729" s="1309">
        <f t="shared" si="22"/>
        <v>0</v>
      </c>
      <c r="DK729" s="1309"/>
      <c r="DL729" s="1309"/>
      <c r="DM729" s="1309"/>
      <c r="DN729" s="1309"/>
      <c r="DO729" s="1309">
        <f t="shared" si="23"/>
        <v>0</v>
      </c>
      <c r="DP729" s="1309"/>
      <c r="DQ729" s="1309"/>
      <c r="DR729" s="1309"/>
      <c r="DS729" s="1309"/>
      <c r="DT729" s="1151"/>
      <c r="DU729" s="1323">
        <f t="shared" si="24"/>
        <v>0</v>
      </c>
      <c r="DV729" s="1323"/>
      <c r="DW729" s="1323"/>
      <c r="DX729" s="1323"/>
      <c r="DY729" s="1323"/>
      <c r="DZ729" s="1323">
        <f t="shared" si="25"/>
        <v>0</v>
      </c>
      <c r="EA729" s="1323"/>
      <c r="EB729" s="1323"/>
      <c r="EC729" s="1323"/>
      <c r="ED729" s="1323"/>
      <c r="EE729" s="1323">
        <f t="shared" si="26"/>
        <v>0</v>
      </c>
      <c r="EF729" s="1323"/>
      <c r="EG729" s="1323"/>
      <c r="EH729" s="1323"/>
      <c r="EI729" s="1323"/>
      <c r="EJ729" s="1323">
        <f t="shared" si="27"/>
        <v>0</v>
      </c>
      <c r="EK729" s="1323"/>
      <c r="EL729" s="1323"/>
      <c r="EM729" s="1323"/>
      <c r="EN729" s="1323"/>
      <c r="EO729" s="1323">
        <f t="shared" si="28"/>
        <v>0</v>
      </c>
      <c r="EP729" s="1323"/>
      <c r="EQ729" s="1323"/>
      <c r="ER729" s="1323"/>
      <c r="ES729" s="1323"/>
      <c r="ET729" s="1323">
        <f t="shared" si="29"/>
        <v>0</v>
      </c>
      <c r="EU729" s="1323"/>
      <c r="EV729" s="1323"/>
      <c r="EW729" s="1323"/>
      <c r="EX729" s="1323"/>
      <c r="EZ729" s="1296" t="str">
        <f t="shared" si="30"/>
        <v/>
      </c>
      <c r="FA729" s="1297"/>
      <c r="FB729" s="1297"/>
      <c r="FC729" s="1297"/>
      <c r="FD729" s="1298"/>
      <c r="FE729" s="1296" t="str">
        <f t="shared" si="31"/>
        <v/>
      </c>
      <c r="FF729" s="1297"/>
      <c r="FG729" s="1297"/>
      <c r="FH729" s="1297"/>
      <c r="FI729" s="1298"/>
      <c r="FJ729" s="1296" t="str">
        <f t="shared" si="32"/>
        <v/>
      </c>
      <c r="FK729" s="1297"/>
      <c r="FL729" s="1297"/>
      <c r="FM729" s="1297"/>
      <c r="FN729" s="1298"/>
      <c r="FO729" s="1296" t="str">
        <f t="shared" si="33"/>
        <v/>
      </c>
      <c r="FP729" s="1297"/>
      <c r="FQ729" s="1297"/>
      <c r="FR729" s="1297"/>
      <c r="FS729" s="1298"/>
      <c r="FT729" s="1296" t="str">
        <f t="shared" si="34"/>
        <v/>
      </c>
      <c r="FU729" s="1297"/>
      <c r="FV729" s="1297"/>
      <c r="FW729" s="1297"/>
      <c r="FX729" s="1298"/>
      <c r="FY729" s="1296" t="str">
        <f t="shared" si="35"/>
        <v/>
      </c>
      <c r="FZ729" s="1297"/>
      <c r="GA729" s="1297"/>
      <c r="GB729" s="1297"/>
      <c r="GC729" s="1298"/>
    </row>
    <row r="730" spans="1:185" ht="13" customHeight="1">
      <c r="B730" s="1310"/>
      <c r="C730" s="1311"/>
      <c r="D730" s="1311"/>
      <c r="E730" s="1311"/>
      <c r="F730" s="1312"/>
      <c r="G730" s="1319"/>
      <c r="H730" s="1320"/>
      <c r="I730" s="1320"/>
      <c r="J730" s="1321"/>
      <c r="K730" s="1545"/>
      <c r="L730" s="1546"/>
      <c r="M730" s="1546"/>
      <c r="N730" s="1547"/>
      <c r="O730" s="1420"/>
      <c r="P730" s="1421"/>
      <c r="Q730" s="1421"/>
      <c r="R730" s="1421"/>
      <c r="S730" s="1422"/>
      <c r="T730" s="1420"/>
      <c r="U730" s="1421"/>
      <c r="V730" s="1421"/>
      <c r="W730" s="1422"/>
      <c r="X730" s="1313">
        <f t="shared" si="8"/>
        <v>0</v>
      </c>
      <c r="Y730" s="1314"/>
      <c r="Z730" s="1314"/>
      <c r="AA730" s="1314"/>
      <c r="AB730" s="1315"/>
      <c r="AC730" s="1554"/>
      <c r="AD730" s="1555"/>
      <c r="AE730" s="1555"/>
      <c r="AF730" s="1555"/>
      <c r="AG730" s="1556"/>
      <c r="AH730" s="1316" t="str">
        <f t="shared" si="36"/>
        <v/>
      </c>
      <c r="AI730" s="1317"/>
      <c r="AJ730" s="1318"/>
      <c r="AK730" s="1310" t="s">
        <v>798</v>
      </c>
      <c r="AL730" s="1311"/>
      <c r="AM730" s="1311"/>
      <c r="AN730" s="1311"/>
      <c r="AO730" s="1312"/>
      <c r="AP730" s="2"/>
      <c r="AQ730" s="2"/>
      <c r="AR730" s="2"/>
      <c r="AS730" s="2"/>
      <c r="AY730" s="763"/>
      <c r="AZ730" s="68" t="str">
        <f t="shared" si="9"/>
        <v>N/A</v>
      </c>
      <c r="BA730" s="2"/>
      <c r="BB730" s="2"/>
      <c r="BC730" s="2"/>
      <c r="BD730" s="2"/>
      <c r="BE730" s="113"/>
      <c r="BF730" s="178">
        <f t="shared" si="10"/>
        <v>0</v>
      </c>
      <c r="BG730" s="181">
        <f t="shared" si="11"/>
        <v>0</v>
      </c>
      <c r="BH730" s="182" t="str">
        <f t="shared" si="12"/>
        <v/>
      </c>
      <c r="BI730" s="2"/>
      <c r="BJ730" s="2"/>
      <c r="BK730" s="2"/>
      <c r="BL730" s="2"/>
      <c r="BM730" s="2"/>
      <c r="BN730" s="2"/>
      <c r="BS730" s="178">
        <f t="shared" si="13"/>
        <v>0</v>
      </c>
      <c r="BT730" s="181">
        <f t="shared" si="14"/>
        <v>0</v>
      </c>
      <c r="BU730" s="182" t="str">
        <f t="shared" si="15"/>
        <v/>
      </c>
      <c r="BV730" s="2"/>
      <c r="BW730" s="2"/>
      <c r="BX730" s="2"/>
      <c r="BY730" s="2"/>
      <c r="BZ730" s="2"/>
      <c r="CA730" s="2"/>
      <c r="CB730" s="2"/>
      <c r="CC730" s="2"/>
      <c r="CE730" s="2"/>
      <c r="CF730" s="2"/>
      <c r="CG730" s="1296">
        <f t="shared" si="37"/>
        <v>0</v>
      </c>
      <c r="CH730" s="1298"/>
      <c r="CI730" s="1296">
        <f t="shared" si="38"/>
        <v>0</v>
      </c>
      <c r="CJ730" s="1298"/>
      <c r="CK730" s="1296">
        <f t="shared" si="16"/>
        <v>0</v>
      </c>
      <c r="CL730" s="1298"/>
      <c r="CM730" s="1296">
        <f t="shared" si="17"/>
        <v>0</v>
      </c>
      <c r="CN730" s="1298"/>
      <c r="CO730" s="2"/>
      <c r="CP730" s="1293">
        <f t="shared" si="18"/>
        <v>0</v>
      </c>
      <c r="CQ730" s="1294"/>
      <c r="CR730" s="1294"/>
      <c r="CS730" s="1294"/>
      <c r="CT730" s="1295"/>
      <c r="CU730" s="1309">
        <f t="shared" si="19"/>
        <v>0</v>
      </c>
      <c r="CV730" s="1309"/>
      <c r="CW730" s="1309"/>
      <c r="CX730" s="1309"/>
      <c r="CY730" s="1309"/>
      <c r="CZ730" s="1309">
        <f t="shared" si="20"/>
        <v>0</v>
      </c>
      <c r="DA730" s="1309"/>
      <c r="DB730" s="1309"/>
      <c r="DC730" s="1309"/>
      <c r="DD730" s="1309"/>
      <c r="DE730" s="1309">
        <f t="shared" si="21"/>
        <v>0</v>
      </c>
      <c r="DF730" s="1309"/>
      <c r="DG730" s="1309"/>
      <c r="DH730" s="1309"/>
      <c r="DI730" s="1309"/>
      <c r="DJ730" s="1309">
        <f t="shared" si="22"/>
        <v>0</v>
      </c>
      <c r="DK730" s="1309"/>
      <c r="DL730" s="1309"/>
      <c r="DM730" s="1309"/>
      <c r="DN730" s="1309"/>
      <c r="DO730" s="1309">
        <f t="shared" si="23"/>
        <v>0</v>
      </c>
      <c r="DP730" s="1309"/>
      <c r="DQ730" s="1309"/>
      <c r="DR730" s="1309"/>
      <c r="DS730" s="1309"/>
      <c r="DT730" s="1151"/>
      <c r="DU730" s="1323">
        <f t="shared" si="24"/>
        <v>0</v>
      </c>
      <c r="DV730" s="1323"/>
      <c r="DW730" s="1323"/>
      <c r="DX730" s="1323"/>
      <c r="DY730" s="1323"/>
      <c r="DZ730" s="1323">
        <f t="shared" si="25"/>
        <v>0</v>
      </c>
      <c r="EA730" s="1323"/>
      <c r="EB730" s="1323"/>
      <c r="EC730" s="1323"/>
      <c r="ED730" s="1323"/>
      <c r="EE730" s="1323">
        <f t="shared" si="26"/>
        <v>0</v>
      </c>
      <c r="EF730" s="1323"/>
      <c r="EG730" s="1323"/>
      <c r="EH730" s="1323"/>
      <c r="EI730" s="1323"/>
      <c r="EJ730" s="1323">
        <f t="shared" si="27"/>
        <v>0</v>
      </c>
      <c r="EK730" s="1323"/>
      <c r="EL730" s="1323"/>
      <c r="EM730" s="1323"/>
      <c r="EN730" s="1323"/>
      <c r="EO730" s="1323">
        <f t="shared" si="28"/>
        <v>0</v>
      </c>
      <c r="EP730" s="1323"/>
      <c r="EQ730" s="1323"/>
      <c r="ER730" s="1323"/>
      <c r="ES730" s="1323"/>
      <c r="ET730" s="1323">
        <f t="shared" si="29"/>
        <v>0</v>
      </c>
      <c r="EU730" s="1323"/>
      <c r="EV730" s="1323"/>
      <c r="EW730" s="1323"/>
      <c r="EX730" s="1323"/>
      <c r="EZ730" s="1296" t="str">
        <f t="shared" si="30"/>
        <v/>
      </c>
      <c r="FA730" s="1297"/>
      <c r="FB730" s="1297"/>
      <c r="FC730" s="1297"/>
      <c r="FD730" s="1298"/>
      <c r="FE730" s="1296" t="str">
        <f t="shared" si="31"/>
        <v/>
      </c>
      <c r="FF730" s="1297"/>
      <c r="FG730" s="1297"/>
      <c r="FH730" s="1297"/>
      <c r="FI730" s="1298"/>
      <c r="FJ730" s="1296" t="str">
        <f t="shared" si="32"/>
        <v/>
      </c>
      <c r="FK730" s="1297"/>
      <c r="FL730" s="1297"/>
      <c r="FM730" s="1297"/>
      <c r="FN730" s="1298"/>
      <c r="FO730" s="1296" t="str">
        <f t="shared" si="33"/>
        <v/>
      </c>
      <c r="FP730" s="1297"/>
      <c r="FQ730" s="1297"/>
      <c r="FR730" s="1297"/>
      <c r="FS730" s="1298"/>
      <c r="FT730" s="1296" t="str">
        <f t="shared" si="34"/>
        <v/>
      </c>
      <c r="FU730" s="1297"/>
      <c r="FV730" s="1297"/>
      <c r="FW730" s="1297"/>
      <c r="FX730" s="1298"/>
      <c r="FY730" s="1296" t="str">
        <f t="shared" si="35"/>
        <v/>
      </c>
      <c r="FZ730" s="1297"/>
      <c r="GA730" s="1297"/>
      <c r="GB730" s="1297"/>
      <c r="GC730" s="1298"/>
    </row>
    <row r="731" spans="1:185" ht="13" customHeight="1">
      <c r="B731" s="1310"/>
      <c r="C731" s="1311"/>
      <c r="D731" s="1311"/>
      <c r="E731" s="1311"/>
      <c r="F731" s="1312"/>
      <c r="G731" s="1319"/>
      <c r="H731" s="1320"/>
      <c r="I731" s="1320"/>
      <c r="J731" s="1321"/>
      <c r="K731" s="1545"/>
      <c r="L731" s="1546"/>
      <c r="M731" s="1546"/>
      <c r="N731" s="1547"/>
      <c r="O731" s="1420"/>
      <c r="P731" s="1421"/>
      <c r="Q731" s="1421"/>
      <c r="R731" s="1421"/>
      <c r="S731" s="1422"/>
      <c r="T731" s="1420"/>
      <c r="U731" s="1421"/>
      <c r="V731" s="1421"/>
      <c r="W731" s="1422"/>
      <c r="X731" s="1313">
        <f t="shared" si="8"/>
        <v>0</v>
      </c>
      <c r="Y731" s="1314"/>
      <c r="Z731" s="1314"/>
      <c r="AA731" s="1314"/>
      <c r="AB731" s="1315"/>
      <c r="AC731" s="1554"/>
      <c r="AD731" s="1555"/>
      <c r="AE731" s="1555"/>
      <c r="AF731" s="1555"/>
      <c r="AG731" s="1556"/>
      <c r="AH731" s="1316" t="str">
        <f t="shared" si="36"/>
        <v/>
      </c>
      <c r="AI731" s="1317"/>
      <c r="AJ731" s="1318"/>
      <c r="AK731" s="1310" t="s">
        <v>798</v>
      </c>
      <c r="AL731" s="1311"/>
      <c r="AM731" s="1311"/>
      <c r="AN731" s="1311"/>
      <c r="AO731" s="1312"/>
      <c r="AP731" s="2"/>
      <c r="AQ731" s="2"/>
      <c r="AR731" s="2"/>
      <c r="AS731" s="2"/>
      <c r="AY731" s="763"/>
      <c r="AZ731" s="68" t="str">
        <f t="shared" si="9"/>
        <v>N/A</v>
      </c>
      <c r="BA731" s="2"/>
      <c r="BB731" s="2"/>
      <c r="BC731" s="2"/>
      <c r="BD731" s="2"/>
      <c r="BE731" s="113"/>
      <c r="BF731" s="178">
        <f t="shared" si="10"/>
        <v>0</v>
      </c>
      <c r="BG731" s="181">
        <f t="shared" si="11"/>
        <v>0</v>
      </c>
      <c r="BH731" s="182" t="str">
        <f t="shared" si="12"/>
        <v/>
      </c>
      <c r="BI731" s="2"/>
      <c r="BJ731" s="2"/>
      <c r="BK731" s="2"/>
      <c r="BL731" s="2"/>
      <c r="BM731" s="2"/>
      <c r="BN731" s="2"/>
      <c r="BS731" s="178">
        <f t="shared" si="13"/>
        <v>0</v>
      </c>
      <c r="BT731" s="181">
        <f t="shared" si="14"/>
        <v>0</v>
      </c>
      <c r="BU731" s="182" t="str">
        <f t="shared" si="15"/>
        <v/>
      </c>
      <c r="BV731" s="2"/>
      <c r="BW731" s="2"/>
      <c r="BX731" s="2"/>
      <c r="BY731" s="2"/>
      <c r="BZ731" s="2"/>
      <c r="CA731" s="2"/>
      <c r="CB731" s="2"/>
      <c r="CC731" s="2"/>
      <c r="CE731" s="2"/>
      <c r="CF731" s="2"/>
      <c r="CG731" s="1296">
        <f t="shared" si="37"/>
        <v>0</v>
      </c>
      <c r="CH731" s="1298"/>
      <c r="CI731" s="1296">
        <f t="shared" si="38"/>
        <v>0</v>
      </c>
      <c r="CJ731" s="1298"/>
      <c r="CK731" s="1296">
        <f t="shared" si="16"/>
        <v>0</v>
      </c>
      <c r="CL731" s="1298"/>
      <c r="CM731" s="1296">
        <f t="shared" si="17"/>
        <v>0</v>
      </c>
      <c r="CN731" s="1298"/>
      <c r="CO731" s="2"/>
      <c r="CP731" s="1293">
        <f t="shared" si="18"/>
        <v>0</v>
      </c>
      <c r="CQ731" s="1294"/>
      <c r="CR731" s="1294"/>
      <c r="CS731" s="1294"/>
      <c r="CT731" s="1295"/>
      <c r="CU731" s="1309">
        <f t="shared" si="19"/>
        <v>0</v>
      </c>
      <c r="CV731" s="1309"/>
      <c r="CW731" s="1309"/>
      <c r="CX731" s="1309"/>
      <c r="CY731" s="1309"/>
      <c r="CZ731" s="1309">
        <f t="shared" si="20"/>
        <v>0</v>
      </c>
      <c r="DA731" s="1309"/>
      <c r="DB731" s="1309"/>
      <c r="DC731" s="1309"/>
      <c r="DD731" s="1309"/>
      <c r="DE731" s="1309">
        <f t="shared" si="21"/>
        <v>0</v>
      </c>
      <c r="DF731" s="1309"/>
      <c r="DG731" s="1309"/>
      <c r="DH731" s="1309"/>
      <c r="DI731" s="1309"/>
      <c r="DJ731" s="1309">
        <f t="shared" si="22"/>
        <v>0</v>
      </c>
      <c r="DK731" s="1309"/>
      <c r="DL731" s="1309"/>
      <c r="DM731" s="1309"/>
      <c r="DN731" s="1309"/>
      <c r="DO731" s="1309">
        <f t="shared" si="23"/>
        <v>0</v>
      </c>
      <c r="DP731" s="1309"/>
      <c r="DQ731" s="1309"/>
      <c r="DR731" s="1309"/>
      <c r="DS731" s="1309"/>
      <c r="DT731" s="1151"/>
      <c r="DU731" s="1323">
        <f t="shared" si="24"/>
        <v>0</v>
      </c>
      <c r="DV731" s="1323"/>
      <c r="DW731" s="1323"/>
      <c r="DX731" s="1323"/>
      <c r="DY731" s="1323"/>
      <c r="DZ731" s="1323">
        <f t="shared" si="25"/>
        <v>0</v>
      </c>
      <c r="EA731" s="1323"/>
      <c r="EB731" s="1323"/>
      <c r="EC731" s="1323"/>
      <c r="ED731" s="1323"/>
      <c r="EE731" s="1323">
        <f t="shared" si="26"/>
        <v>0</v>
      </c>
      <c r="EF731" s="1323"/>
      <c r="EG731" s="1323"/>
      <c r="EH731" s="1323"/>
      <c r="EI731" s="1323"/>
      <c r="EJ731" s="1323">
        <f t="shared" si="27"/>
        <v>0</v>
      </c>
      <c r="EK731" s="1323"/>
      <c r="EL731" s="1323"/>
      <c r="EM731" s="1323"/>
      <c r="EN731" s="1323"/>
      <c r="EO731" s="1323">
        <f t="shared" si="28"/>
        <v>0</v>
      </c>
      <c r="EP731" s="1323"/>
      <c r="EQ731" s="1323"/>
      <c r="ER731" s="1323"/>
      <c r="ES731" s="1323"/>
      <c r="ET731" s="1323">
        <f t="shared" si="29"/>
        <v>0</v>
      </c>
      <c r="EU731" s="1323"/>
      <c r="EV731" s="1323"/>
      <c r="EW731" s="1323"/>
      <c r="EX731" s="1323"/>
      <c r="EZ731" s="1296" t="str">
        <f t="shared" si="30"/>
        <v/>
      </c>
      <c r="FA731" s="1297"/>
      <c r="FB731" s="1297"/>
      <c r="FC731" s="1297"/>
      <c r="FD731" s="1298"/>
      <c r="FE731" s="1296" t="str">
        <f t="shared" si="31"/>
        <v/>
      </c>
      <c r="FF731" s="1297"/>
      <c r="FG731" s="1297"/>
      <c r="FH731" s="1297"/>
      <c r="FI731" s="1298"/>
      <c r="FJ731" s="1296" t="str">
        <f t="shared" si="32"/>
        <v/>
      </c>
      <c r="FK731" s="1297"/>
      <c r="FL731" s="1297"/>
      <c r="FM731" s="1297"/>
      <c r="FN731" s="1298"/>
      <c r="FO731" s="1296" t="str">
        <f t="shared" si="33"/>
        <v/>
      </c>
      <c r="FP731" s="1297"/>
      <c r="FQ731" s="1297"/>
      <c r="FR731" s="1297"/>
      <c r="FS731" s="1298"/>
      <c r="FT731" s="1296" t="str">
        <f t="shared" si="34"/>
        <v/>
      </c>
      <c r="FU731" s="1297"/>
      <c r="FV731" s="1297"/>
      <c r="FW731" s="1297"/>
      <c r="FX731" s="1298"/>
      <c r="FY731" s="1296" t="str">
        <f t="shared" si="35"/>
        <v/>
      </c>
      <c r="FZ731" s="1297"/>
      <c r="GA731" s="1297"/>
      <c r="GB731" s="1297"/>
      <c r="GC731" s="1298"/>
    </row>
    <row r="732" spans="1:185" ht="13" customHeight="1">
      <c r="B732" s="1310"/>
      <c r="C732" s="1311"/>
      <c r="D732" s="1311"/>
      <c r="E732" s="1311"/>
      <c r="F732" s="1312"/>
      <c r="G732" s="1319"/>
      <c r="H732" s="1320"/>
      <c r="I732" s="1320"/>
      <c r="J732" s="1321"/>
      <c r="K732" s="1545"/>
      <c r="L732" s="1546"/>
      <c r="M732" s="1546"/>
      <c r="N732" s="1547"/>
      <c r="O732" s="1420"/>
      <c r="P732" s="1421"/>
      <c r="Q732" s="1421"/>
      <c r="R732" s="1421"/>
      <c r="S732" s="1422"/>
      <c r="T732" s="1420"/>
      <c r="U732" s="1421"/>
      <c r="V732" s="1421"/>
      <c r="W732" s="1422"/>
      <c r="X732" s="1313">
        <f t="shared" si="8"/>
        <v>0</v>
      </c>
      <c r="Y732" s="1314"/>
      <c r="Z732" s="1314"/>
      <c r="AA732" s="1314"/>
      <c r="AB732" s="1315"/>
      <c r="AC732" s="1554"/>
      <c r="AD732" s="1555"/>
      <c r="AE732" s="1555"/>
      <c r="AF732" s="1555"/>
      <c r="AG732" s="1556"/>
      <c r="AH732" s="1316" t="str">
        <f t="shared" si="36"/>
        <v/>
      </c>
      <c r="AI732" s="1317"/>
      <c r="AJ732" s="1318"/>
      <c r="AK732" s="1310" t="s">
        <v>798</v>
      </c>
      <c r="AL732" s="1311"/>
      <c r="AM732" s="1311"/>
      <c r="AN732" s="1311"/>
      <c r="AO732" s="1312"/>
      <c r="AP732" s="2"/>
      <c r="AQ732" s="2"/>
      <c r="AR732" s="2"/>
      <c r="AS732" s="2"/>
      <c r="AY732" s="763"/>
      <c r="AZ732" s="68" t="str">
        <f t="shared" si="9"/>
        <v>N/A</v>
      </c>
      <c r="BA732" s="2"/>
      <c r="BB732" s="2"/>
      <c r="BC732" s="2"/>
      <c r="BD732" s="2"/>
      <c r="BE732" s="113"/>
      <c r="BF732" s="178">
        <f t="shared" si="10"/>
        <v>0</v>
      </c>
      <c r="BG732" s="181">
        <f t="shared" si="11"/>
        <v>0</v>
      </c>
      <c r="BH732" s="182" t="str">
        <f t="shared" si="12"/>
        <v/>
      </c>
      <c r="BI732" s="2"/>
      <c r="BJ732" s="2"/>
      <c r="BK732" s="2"/>
      <c r="BL732" s="2"/>
      <c r="BM732" s="2"/>
      <c r="BN732" s="2"/>
      <c r="BS732" s="178">
        <f t="shared" si="13"/>
        <v>0</v>
      </c>
      <c r="BT732" s="181">
        <f t="shared" si="14"/>
        <v>0</v>
      </c>
      <c r="BU732" s="182" t="str">
        <f t="shared" si="15"/>
        <v/>
      </c>
      <c r="BV732" s="2"/>
      <c r="BW732" s="2"/>
      <c r="BX732" s="2"/>
      <c r="BY732" s="2"/>
      <c r="BZ732" s="2"/>
      <c r="CA732" s="2"/>
      <c r="CB732" s="2"/>
      <c r="CC732" s="2"/>
      <c r="CE732" s="2"/>
      <c r="CF732" s="2"/>
      <c r="CG732" s="1296">
        <f t="shared" si="37"/>
        <v>0</v>
      </c>
      <c r="CH732" s="1298"/>
      <c r="CI732" s="1296">
        <f t="shared" si="38"/>
        <v>0</v>
      </c>
      <c r="CJ732" s="1298"/>
      <c r="CK732" s="1296">
        <f t="shared" si="16"/>
        <v>0</v>
      </c>
      <c r="CL732" s="1298"/>
      <c r="CM732" s="1296">
        <f t="shared" si="17"/>
        <v>0</v>
      </c>
      <c r="CN732" s="1298"/>
      <c r="CO732" s="2"/>
      <c r="CP732" s="1293">
        <f t="shared" si="18"/>
        <v>0</v>
      </c>
      <c r="CQ732" s="1294"/>
      <c r="CR732" s="1294"/>
      <c r="CS732" s="1294"/>
      <c r="CT732" s="1295"/>
      <c r="CU732" s="1309">
        <f t="shared" si="19"/>
        <v>0</v>
      </c>
      <c r="CV732" s="1309"/>
      <c r="CW732" s="1309"/>
      <c r="CX732" s="1309"/>
      <c r="CY732" s="1309"/>
      <c r="CZ732" s="1309">
        <f t="shared" si="20"/>
        <v>0</v>
      </c>
      <c r="DA732" s="1309"/>
      <c r="DB732" s="1309"/>
      <c r="DC732" s="1309"/>
      <c r="DD732" s="1309"/>
      <c r="DE732" s="1309">
        <f t="shared" si="21"/>
        <v>0</v>
      </c>
      <c r="DF732" s="1309"/>
      <c r="DG732" s="1309"/>
      <c r="DH732" s="1309"/>
      <c r="DI732" s="1309"/>
      <c r="DJ732" s="1309">
        <f t="shared" si="22"/>
        <v>0</v>
      </c>
      <c r="DK732" s="1309"/>
      <c r="DL732" s="1309"/>
      <c r="DM732" s="1309"/>
      <c r="DN732" s="1309"/>
      <c r="DO732" s="1309">
        <f t="shared" si="23"/>
        <v>0</v>
      </c>
      <c r="DP732" s="1309"/>
      <c r="DQ732" s="1309"/>
      <c r="DR732" s="1309"/>
      <c r="DS732" s="1309"/>
      <c r="DT732" s="1151"/>
      <c r="DU732" s="1323">
        <f t="shared" si="24"/>
        <v>0</v>
      </c>
      <c r="DV732" s="1323"/>
      <c r="DW732" s="1323"/>
      <c r="DX732" s="1323"/>
      <c r="DY732" s="1323"/>
      <c r="DZ732" s="1323">
        <f t="shared" si="25"/>
        <v>0</v>
      </c>
      <c r="EA732" s="1323"/>
      <c r="EB732" s="1323"/>
      <c r="EC732" s="1323"/>
      <c r="ED732" s="1323"/>
      <c r="EE732" s="1323">
        <f t="shared" si="26"/>
        <v>0</v>
      </c>
      <c r="EF732" s="1323"/>
      <c r="EG732" s="1323"/>
      <c r="EH732" s="1323"/>
      <c r="EI732" s="1323"/>
      <c r="EJ732" s="1323">
        <f t="shared" si="27"/>
        <v>0</v>
      </c>
      <c r="EK732" s="1323"/>
      <c r="EL732" s="1323"/>
      <c r="EM732" s="1323"/>
      <c r="EN732" s="1323"/>
      <c r="EO732" s="1323">
        <f t="shared" si="28"/>
        <v>0</v>
      </c>
      <c r="EP732" s="1323"/>
      <c r="EQ732" s="1323"/>
      <c r="ER732" s="1323"/>
      <c r="ES732" s="1323"/>
      <c r="ET732" s="1323">
        <f t="shared" si="29"/>
        <v>0</v>
      </c>
      <c r="EU732" s="1323"/>
      <c r="EV732" s="1323"/>
      <c r="EW732" s="1323"/>
      <c r="EX732" s="1323"/>
      <c r="EZ732" s="1296" t="str">
        <f t="shared" si="30"/>
        <v/>
      </c>
      <c r="FA732" s="1297"/>
      <c r="FB732" s="1297"/>
      <c r="FC732" s="1297"/>
      <c r="FD732" s="1298"/>
      <c r="FE732" s="1296" t="str">
        <f t="shared" si="31"/>
        <v/>
      </c>
      <c r="FF732" s="1297"/>
      <c r="FG732" s="1297"/>
      <c r="FH732" s="1297"/>
      <c r="FI732" s="1298"/>
      <c r="FJ732" s="1296" t="str">
        <f t="shared" si="32"/>
        <v/>
      </c>
      <c r="FK732" s="1297"/>
      <c r="FL732" s="1297"/>
      <c r="FM732" s="1297"/>
      <c r="FN732" s="1298"/>
      <c r="FO732" s="1296" t="str">
        <f t="shared" si="33"/>
        <v/>
      </c>
      <c r="FP732" s="1297"/>
      <c r="FQ732" s="1297"/>
      <c r="FR732" s="1297"/>
      <c r="FS732" s="1298"/>
      <c r="FT732" s="1296" t="str">
        <f t="shared" si="34"/>
        <v/>
      </c>
      <c r="FU732" s="1297"/>
      <c r="FV732" s="1297"/>
      <c r="FW732" s="1297"/>
      <c r="FX732" s="1298"/>
      <c r="FY732" s="1296" t="str">
        <f t="shared" si="35"/>
        <v/>
      </c>
      <c r="FZ732" s="1297"/>
      <c r="GA732" s="1297"/>
      <c r="GB732" s="1297"/>
      <c r="GC732" s="1298"/>
    </row>
    <row r="733" spans="1:185" ht="13" customHeight="1">
      <c r="B733" s="1310"/>
      <c r="C733" s="1311"/>
      <c r="D733" s="1311"/>
      <c r="E733" s="1311"/>
      <c r="F733" s="1312"/>
      <c r="G733" s="1319"/>
      <c r="H733" s="1320"/>
      <c r="I733" s="1320"/>
      <c r="J733" s="1321"/>
      <c r="K733" s="1545"/>
      <c r="L733" s="1546"/>
      <c r="M733" s="1546"/>
      <c r="N733" s="1547"/>
      <c r="O733" s="1420"/>
      <c r="P733" s="1421"/>
      <c r="Q733" s="1421"/>
      <c r="R733" s="1421"/>
      <c r="S733" s="1422"/>
      <c r="T733" s="1420"/>
      <c r="U733" s="1421"/>
      <c r="V733" s="1421"/>
      <c r="W733" s="1422"/>
      <c r="X733" s="1313">
        <f t="shared" si="8"/>
        <v>0</v>
      </c>
      <c r="Y733" s="1314"/>
      <c r="Z733" s="1314"/>
      <c r="AA733" s="1314"/>
      <c r="AB733" s="1315"/>
      <c r="AC733" s="1554"/>
      <c r="AD733" s="1555"/>
      <c r="AE733" s="1555"/>
      <c r="AF733" s="1555"/>
      <c r="AG733" s="1556"/>
      <c r="AH733" s="1316" t="str">
        <f t="shared" si="36"/>
        <v/>
      </c>
      <c r="AI733" s="1317"/>
      <c r="AJ733" s="1318"/>
      <c r="AK733" s="1310" t="s">
        <v>798</v>
      </c>
      <c r="AL733" s="1311"/>
      <c r="AM733" s="1311"/>
      <c r="AN733" s="1311"/>
      <c r="AO733" s="1312"/>
      <c r="AP733" s="2"/>
      <c r="AQ733" s="2"/>
      <c r="AR733" s="2"/>
      <c r="AS733" s="2"/>
      <c r="AY733" s="763"/>
      <c r="AZ733" s="68" t="str">
        <f t="shared" si="9"/>
        <v>N/A</v>
      </c>
      <c r="BA733" s="2"/>
      <c r="BB733" s="2"/>
      <c r="BC733" s="2"/>
      <c r="BD733" s="2"/>
      <c r="BE733" s="113"/>
      <c r="BF733" s="178">
        <f t="shared" si="10"/>
        <v>0</v>
      </c>
      <c r="BG733" s="181">
        <f t="shared" si="11"/>
        <v>0</v>
      </c>
      <c r="BH733" s="182" t="str">
        <f t="shared" si="12"/>
        <v/>
      </c>
      <c r="BI733" s="2"/>
      <c r="BJ733" s="2"/>
      <c r="BK733" s="2"/>
      <c r="BL733" s="2"/>
      <c r="BM733" s="2"/>
      <c r="BN733" s="2"/>
      <c r="BS733" s="178">
        <f t="shared" si="13"/>
        <v>0</v>
      </c>
      <c r="BT733" s="181">
        <f t="shared" si="14"/>
        <v>0</v>
      </c>
      <c r="BU733" s="182" t="str">
        <f t="shared" si="15"/>
        <v/>
      </c>
      <c r="BV733" s="2"/>
      <c r="BW733" s="2"/>
      <c r="BX733" s="2"/>
      <c r="BY733" s="2"/>
      <c r="BZ733" s="2"/>
      <c r="CA733" s="2"/>
      <c r="CB733" s="2"/>
      <c r="CC733" s="2"/>
      <c r="CE733" s="2"/>
      <c r="CF733" s="2"/>
      <c r="CG733" s="1296">
        <f t="shared" si="37"/>
        <v>0</v>
      </c>
      <c r="CH733" s="1298"/>
      <c r="CI733" s="1296">
        <f t="shared" si="38"/>
        <v>0</v>
      </c>
      <c r="CJ733" s="1298"/>
      <c r="CK733" s="1296">
        <f t="shared" si="16"/>
        <v>0</v>
      </c>
      <c r="CL733" s="1298"/>
      <c r="CM733" s="1296">
        <f t="shared" si="17"/>
        <v>0</v>
      </c>
      <c r="CN733" s="1298"/>
      <c r="CO733" s="2"/>
      <c r="CP733" s="1293">
        <f t="shared" si="18"/>
        <v>0</v>
      </c>
      <c r="CQ733" s="1294"/>
      <c r="CR733" s="1294"/>
      <c r="CS733" s="1294"/>
      <c r="CT733" s="1295"/>
      <c r="CU733" s="1309">
        <f t="shared" si="19"/>
        <v>0</v>
      </c>
      <c r="CV733" s="1309"/>
      <c r="CW733" s="1309"/>
      <c r="CX733" s="1309"/>
      <c r="CY733" s="1309"/>
      <c r="CZ733" s="1309">
        <f t="shared" si="20"/>
        <v>0</v>
      </c>
      <c r="DA733" s="1309"/>
      <c r="DB733" s="1309"/>
      <c r="DC733" s="1309"/>
      <c r="DD733" s="1309"/>
      <c r="DE733" s="1309">
        <f t="shared" si="21"/>
        <v>0</v>
      </c>
      <c r="DF733" s="1309"/>
      <c r="DG733" s="1309"/>
      <c r="DH733" s="1309"/>
      <c r="DI733" s="1309"/>
      <c r="DJ733" s="1309">
        <f t="shared" si="22"/>
        <v>0</v>
      </c>
      <c r="DK733" s="1309"/>
      <c r="DL733" s="1309"/>
      <c r="DM733" s="1309"/>
      <c r="DN733" s="1309"/>
      <c r="DO733" s="1309">
        <f t="shared" si="23"/>
        <v>0</v>
      </c>
      <c r="DP733" s="1309"/>
      <c r="DQ733" s="1309"/>
      <c r="DR733" s="1309"/>
      <c r="DS733" s="1309"/>
      <c r="DT733" s="1151"/>
      <c r="DU733" s="1323">
        <f t="shared" si="24"/>
        <v>0</v>
      </c>
      <c r="DV733" s="1323"/>
      <c r="DW733" s="1323"/>
      <c r="DX733" s="1323"/>
      <c r="DY733" s="1323"/>
      <c r="DZ733" s="1323">
        <f t="shared" si="25"/>
        <v>0</v>
      </c>
      <c r="EA733" s="1323"/>
      <c r="EB733" s="1323"/>
      <c r="EC733" s="1323"/>
      <c r="ED733" s="1323"/>
      <c r="EE733" s="1323">
        <f t="shared" si="26"/>
        <v>0</v>
      </c>
      <c r="EF733" s="1323"/>
      <c r="EG733" s="1323"/>
      <c r="EH733" s="1323"/>
      <c r="EI733" s="1323"/>
      <c r="EJ733" s="1323">
        <f t="shared" si="27"/>
        <v>0</v>
      </c>
      <c r="EK733" s="1323"/>
      <c r="EL733" s="1323"/>
      <c r="EM733" s="1323"/>
      <c r="EN733" s="1323"/>
      <c r="EO733" s="1323">
        <f t="shared" si="28"/>
        <v>0</v>
      </c>
      <c r="EP733" s="1323"/>
      <c r="EQ733" s="1323"/>
      <c r="ER733" s="1323"/>
      <c r="ES733" s="1323"/>
      <c r="ET733" s="1323">
        <f t="shared" si="29"/>
        <v>0</v>
      </c>
      <c r="EU733" s="1323"/>
      <c r="EV733" s="1323"/>
      <c r="EW733" s="1323"/>
      <c r="EX733" s="1323"/>
      <c r="EZ733" s="1296" t="str">
        <f t="shared" si="30"/>
        <v/>
      </c>
      <c r="FA733" s="1297"/>
      <c r="FB733" s="1297"/>
      <c r="FC733" s="1297"/>
      <c r="FD733" s="1298"/>
      <c r="FE733" s="1296" t="str">
        <f t="shared" si="31"/>
        <v/>
      </c>
      <c r="FF733" s="1297"/>
      <c r="FG733" s="1297"/>
      <c r="FH733" s="1297"/>
      <c r="FI733" s="1298"/>
      <c r="FJ733" s="1296" t="str">
        <f t="shared" si="32"/>
        <v/>
      </c>
      <c r="FK733" s="1297"/>
      <c r="FL733" s="1297"/>
      <c r="FM733" s="1297"/>
      <c r="FN733" s="1298"/>
      <c r="FO733" s="1296" t="str">
        <f t="shared" si="33"/>
        <v/>
      </c>
      <c r="FP733" s="1297"/>
      <c r="FQ733" s="1297"/>
      <c r="FR733" s="1297"/>
      <c r="FS733" s="1298"/>
      <c r="FT733" s="1296" t="str">
        <f t="shared" si="34"/>
        <v/>
      </c>
      <c r="FU733" s="1297"/>
      <c r="FV733" s="1297"/>
      <c r="FW733" s="1297"/>
      <c r="FX733" s="1298"/>
      <c r="FY733" s="1296" t="str">
        <f t="shared" si="35"/>
        <v/>
      </c>
      <c r="FZ733" s="1297"/>
      <c r="GA733" s="1297"/>
      <c r="GB733" s="1297"/>
      <c r="GC733" s="1298"/>
    </row>
    <row r="734" spans="1:185" ht="13" customHeight="1">
      <c r="B734" s="1310"/>
      <c r="C734" s="1311"/>
      <c r="D734" s="1311"/>
      <c r="E734" s="1311"/>
      <c r="F734" s="1312"/>
      <c r="G734" s="1319"/>
      <c r="H734" s="1320"/>
      <c r="I734" s="1320"/>
      <c r="J734" s="1321"/>
      <c r="K734" s="1545"/>
      <c r="L734" s="1546"/>
      <c r="M734" s="1546"/>
      <c r="N734" s="1547"/>
      <c r="O734" s="1420"/>
      <c r="P734" s="1421"/>
      <c r="Q734" s="1421"/>
      <c r="R734" s="1421"/>
      <c r="S734" s="1422"/>
      <c r="T734" s="1420"/>
      <c r="U734" s="1421"/>
      <c r="V734" s="1421"/>
      <c r="W734" s="1422"/>
      <c r="X734" s="1313">
        <f t="shared" si="8"/>
        <v>0</v>
      </c>
      <c r="Y734" s="1314"/>
      <c r="Z734" s="1314"/>
      <c r="AA734" s="1314"/>
      <c r="AB734" s="1315"/>
      <c r="AC734" s="1554"/>
      <c r="AD734" s="1555"/>
      <c r="AE734" s="1555"/>
      <c r="AF734" s="1555"/>
      <c r="AG734" s="1556"/>
      <c r="AH734" s="1316" t="str">
        <f t="shared" si="36"/>
        <v/>
      </c>
      <c r="AI734" s="1317"/>
      <c r="AJ734" s="1318"/>
      <c r="AK734" s="1310" t="s">
        <v>798</v>
      </c>
      <c r="AL734" s="1311"/>
      <c r="AM734" s="1311"/>
      <c r="AN734" s="1311"/>
      <c r="AO734" s="1312"/>
      <c r="AP734" s="2"/>
      <c r="AQ734" s="2"/>
      <c r="AR734" s="2"/>
      <c r="AS734" s="2"/>
      <c r="AY734" s="763"/>
      <c r="AZ734" s="68" t="str">
        <f t="shared" si="9"/>
        <v>N/A</v>
      </c>
      <c r="BA734" s="2"/>
      <c r="BB734" s="2"/>
      <c r="BC734" s="2"/>
      <c r="BD734" s="2"/>
      <c r="BE734" s="113"/>
      <c r="BF734" s="178">
        <f t="shared" si="10"/>
        <v>0</v>
      </c>
      <c r="BG734" s="181">
        <f t="shared" si="11"/>
        <v>0</v>
      </c>
      <c r="BH734" s="182" t="str">
        <f t="shared" si="12"/>
        <v/>
      </c>
      <c r="BI734" s="2"/>
      <c r="BJ734" s="2"/>
      <c r="BK734" s="2"/>
      <c r="BL734" s="2"/>
      <c r="BM734" s="2"/>
      <c r="BN734" s="2"/>
      <c r="BS734" s="178">
        <f t="shared" si="13"/>
        <v>0</v>
      </c>
      <c r="BT734" s="181">
        <f t="shared" si="14"/>
        <v>0</v>
      </c>
      <c r="BU734" s="182" t="str">
        <f t="shared" si="15"/>
        <v/>
      </c>
      <c r="BV734" s="2"/>
      <c r="BW734" s="2"/>
      <c r="BX734" s="2"/>
      <c r="BY734" s="2"/>
      <c r="BZ734" s="2"/>
      <c r="CA734" s="2"/>
      <c r="CB734" s="2"/>
      <c r="CC734" s="2"/>
      <c r="CE734" s="2"/>
      <c r="CF734" s="2"/>
      <c r="CG734" s="1296">
        <f t="shared" si="37"/>
        <v>0</v>
      </c>
      <c r="CH734" s="1298"/>
      <c r="CI734" s="1296">
        <f t="shared" si="38"/>
        <v>0</v>
      </c>
      <c r="CJ734" s="1298"/>
      <c r="CK734" s="1296">
        <f t="shared" si="16"/>
        <v>0</v>
      </c>
      <c r="CL734" s="1298"/>
      <c r="CM734" s="1296">
        <f t="shared" si="17"/>
        <v>0</v>
      </c>
      <c r="CN734" s="1298"/>
      <c r="CO734" s="2"/>
      <c r="CP734" s="1293">
        <f t="shared" si="18"/>
        <v>0</v>
      </c>
      <c r="CQ734" s="1294"/>
      <c r="CR734" s="1294"/>
      <c r="CS734" s="1294"/>
      <c r="CT734" s="1295"/>
      <c r="CU734" s="1309">
        <f t="shared" si="19"/>
        <v>0</v>
      </c>
      <c r="CV734" s="1309"/>
      <c r="CW734" s="1309"/>
      <c r="CX734" s="1309"/>
      <c r="CY734" s="1309"/>
      <c r="CZ734" s="1309">
        <f t="shared" si="20"/>
        <v>0</v>
      </c>
      <c r="DA734" s="1309"/>
      <c r="DB734" s="1309"/>
      <c r="DC734" s="1309"/>
      <c r="DD734" s="1309"/>
      <c r="DE734" s="1309">
        <f t="shared" si="21"/>
        <v>0</v>
      </c>
      <c r="DF734" s="1309"/>
      <c r="DG734" s="1309"/>
      <c r="DH734" s="1309"/>
      <c r="DI734" s="1309"/>
      <c r="DJ734" s="1309">
        <f t="shared" si="22"/>
        <v>0</v>
      </c>
      <c r="DK734" s="1309"/>
      <c r="DL734" s="1309"/>
      <c r="DM734" s="1309"/>
      <c r="DN734" s="1309"/>
      <c r="DO734" s="1309">
        <f t="shared" si="23"/>
        <v>0</v>
      </c>
      <c r="DP734" s="1309"/>
      <c r="DQ734" s="1309"/>
      <c r="DR734" s="1309"/>
      <c r="DS734" s="1309"/>
      <c r="DT734" s="1151"/>
      <c r="DU734" s="1323">
        <f t="shared" si="24"/>
        <v>0</v>
      </c>
      <c r="DV734" s="1323"/>
      <c r="DW734" s="1323"/>
      <c r="DX734" s="1323"/>
      <c r="DY734" s="1323"/>
      <c r="DZ734" s="1323">
        <f t="shared" si="25"/>
        <v>0</v>
      </c>
      <c r="EA734" s="1323"/>
      <c r="EB734" s="1323"/>
      <c r="EC734" s="1323"/>
      <c r="ED734" s="1323"/>
      <c r="EE734" s="1323">
        <f t="shared" si="26"/>
        <v>0</v>
      </c>
      <c r="EF734" s="1323"/>
      <c r="EG734" s="1323"/>
      <c r="EH734" s="1323"/>
      <c r="EI734" s="1323"/>
      <c r="EJ734" s="1323">
        <f t="shared" si="27"/>
        <v>0</v>
      </c>
      <c r="EK734" s="1323"/>
      <c r="EL734" s="1323"/>
      <c r="EM734" s="1323"/>
      <c r="EN734" s="1323"/>
      <c r="EO734" s="1323">
        <f t="shared" si="28"/>
        <v>0</v>
      </c>
      <c r="EP734" s="1323"/>
      <c r="EQ734" s="1323"/>
      <c r="ER734" s="1323"/>
      <c r="ES734" s="1323"/>
      <c r="ET734" s="1323">
        <f t="shared" si="29"/>
        <v>0</v>
      </c>
      <c r="EU734" s="1323"/>
      <c r="EV734" s="1323"/>
      <c r="EW734" s="1323"/>
      <c r="EX734" s="1323"/>
      <c r="EZ734" s="1296" t="str">
        <f t="shared" si="30"/>
        <v/>
      </c>
      <c r="FA734" s="1297"/>
      <c r="FB734" s="1297"/>
      <c r="FC734" s="1297"/>
      <c r="FD734" s="1298"/>
      <c r="FE734" s="1296" t="str">
        <f t="shared" si="31"/>
        <v/>
      </c>
      <c r="FF734" s="1297"/>
      <c r="FG734" s="1297"/>
      <c r="FH734" s="1297"/>
      <c r="FI734" s="1298"/>
      <c r="FJ734" s="1296" t="str">
        <f t="shared" si="32"/>
        <v/>
      </c>
      <c r="FK734" s="1297"/>
      <c r="FL734" s="1297"/>
      <c r="FM734" s="1297"/>
      <c r="FN734" s="1298"/>
      <c r="FO734" s="1296" t="str">
        <f t="shared" si="33"/>
        <v/>
      </c>
      <c r="FP734" s="1297"/>
      <c r="FQ734" s="1297"/>
      <c r="FR734" s="1297"/>
      <c r="FS734" s="1298"/>
      <c r="FT734" s="1296" t="str">
        <f t="shared" si="34"/>
        <v/>
      </c>
      <c r="FU734" s="1297"/>
      <c r="FV734" s="1297"/>
      <c r="FW734" s="1297"/>
      <c r="FX734" s="1298"/>
      <c r="FY734" s="1296" t="str">
        <f t="shared" si="35"/>
        <v/>
      </c>
      <c r="FZ734" s="1297"/>
      <c r="GA734" s="1297"/>
      <c r="GB734" s="1297"/>
      <c r="GC734" s="1298"/>
    </row>
    <row r="735" spans="1:185" ht="13" customHeight="1">
      <c r="B735" s="1310"/>
      <c r="C735" s="1311"/>
      <c r="D735" s="1311"/>
      <c r="E735" s="1311"/>
      <c r="F735" s="1312"/>
      <c r="G735" s="1319"/>
      <c r="H735" s="1320"/>
      <c r="I735" s="1320"/>
      <c r="J735" s="1321"/>
      <c r="K735" s="1545"/>
      <c r="L735" s="1546"/>
      <c r="M735" s="1546"/>
      <c r="N735" s="1547"/>
      <c r="O735" s="1420"/>
      <c r="P735" s="1421"/>
      <c r="Q735" s="1421"/>
      <c r="R735" s="1421"/>
      <c r="S735" s="1422"/>
      <c r="T735" s="1420"/>
      <c r="U735" s="1421"/>
      <c r="V735" s="1421"/>
      <c r="W735" s="1422"/>
      <c r="X735" s="1313">
        <f t="shared" si="8"/>
        <v>0</v>
      </c>
      <c r="Y735" s="1314"/>
      <c r="Z735" s="1314"/>
      <c r="AA735" s="1314"/>
      <c r="AB735" s="1315"/>
      <c r="AC735" s="1554"/>
      <c r="AD735" s="1555"/>
      <c r="AE735" s="1555"/>
      <c r="AF735" s="1555"/>
      <c r="AG735" s="1556"/>
      <c r="AH735" s="1316" t="str">
        <f t="shared" si="36"/>
        <v/>
      </c>
      <c r="AI735" s="1317"/>
      <c r="AJ735" s="1318"/>
      <c r="AK735" s="1310" t="s">
        <v>798</v>
      </c>
      <c r="AL735" s="1311"/>
      <c r="AM735" s="1311"/>
      <c r="AN735" s="1311"/>
      <c r="AO735" s="1312"/>
      <c r="AP735" s="2"/>
      <c r="AQ735" s="2"/>
      <c r="AR735" s="2"/>
      <c r="AS735" s="2"/>
      <c r="AY735" s="763"/>
      <c r="AZ735" s="68" t="str">
        <f t="shared" si="9"/>
        <v>N/A</v>
      </c>
      <c r="BA735" s="2"/>
      <c r="BB735" s="2"/>
      <c r="BC735" s="2"/>
      <c r="BD735" s="2"/>
      <c r="BE735" s="113"/>
      <c r="BF735" s="178">
        <f t="shared" si="10"/>
        <v>0</v>
      </c>
      <c r="BG735" s="181">
        <f t="shared" si="11"/>
        <v>0</v>
      </c>
      <c r="BH735" s="182" t="str">
        <f t="shared" si="12"/>
        <v/>
      </c>
      <c r="BI735" s="2"/>
      <c r="BJ735" s="2"/>
      <c r="BK735" s="2"/>
      <c r="BL735" s="2"/>
      <c r="BM735" s="2"/>
      <c r="BN735" s="2"/>
      <c r="BS735" s="178">
        <f t="shared" si="13"/>
        <v>0</v>
      </c>
      <c r="BT735" s="181">
        <f t="shared" si="14"/>
        <v>0</v>
      </c>
      <c r="BU735" s="182" t="str">
        <f t="shared" si="15"/>
        <v/>
      </c>
      <c r="BV735" s="2"/>
      <c r="BW735" s="2"/>
      <c r="BX735" s="2"/>
      <c r="BY735" s="2"/>
      <c r="BZ735" s="2"/>
      <c r="CA735" s="2"/>
      <c r="CB735" s="2"/>
      <c r="CC735" s="2"/>
      <c r="CE735" s="2"/>
      <c r="CF735" s="2"/>
      <c r="CG735" s="1296">
        <f t="shared" si="37"/>
        <v>0</v>
      </c>
      <c r="CH735" s="1298"/>
      <c r="CI735" s="1296">
        <f t="shared" si="38"/>
        <v>0</v>
      </c>
      <c r="CJ735" s="1298"/>
      <c r="CK735" s="1296">
        <f t="shared" si="16"/>
        <v>0</v>
      </c>
      <c r="CL735" s="1298"/>
      <c r="CM735" s="1296">
        <f t="shared" si="17"/>
        <v>0</v>
      </c>
      <c r="CN735" s="1298"/>
      <c r="CO735" s="2"/>
      <c r="CP735" s="1293">
        <f t="shared" si="18"/>
        <v>0</v>
      </c>
      <c r="CQ735" s="1294"/>
      <c r="CR735" s="1294"/>
      <c r="CS735" s="1294"/>
      <c r="CT735" s="1295"/>
      <c r="CU735" s="1309">
        <f t="shared" si="19"/>
        <v>0</v>
      </c>
      <c r="CV735" s="1309"/>
      <c r="CW735" s="1309"/>
      <c r="CX735" s="1309"/>
      <c r="CY735" s="1309"/>
      <c r="CZ735" s="1309">
        <f t="shared" si="20"/>
        <v>0</v>
      </c>
      <c r="DA735" s="1309"/>
      <c r="DB735" s="1309"/>
      <c r="DC735" s="1309"/>
      <c r="DD735" s="1309"/>
      <c r="DE735" s="1309">
        <f t="shared" si="21"/>
        <v>0</v>
      </c>
      <c r="DF735" s="1309"/>
      <c r="DG735" s="1309"/>
      <c r="DH735" s="1309"/>
      <c r="DI735" s="1309"/>
      <c r="DJ735" s="1309">
        <f t="shared" si="22"/>
        <v>0</v>
      </c>
      <c r="DK735" s="1309"/>
      <c r="DL735" s="1309"/>
      <c r="DM735" s="1309"/>
      <c r="DN735" s="1309"/>
      <c r="DO735" s="1309">
        <f t="shared" si="23"/>
        <v>0</v>
      </c>
      <c r="DP735" s="1309"/>
      <c r="DQ735" s="1309"/>
      <c r="DR735" s="1309"/>
      <c r="DS735" s="1309"/>
      <c r="DT735" s="1151"/>
      <c r="DU735" s="1323">
        <f t="shared" si="24"/>
        <v>0</v>
      </c>
      <c r="DV735" s="1323"/>
      <c r="DW735" s="1323"/>
      <c r="DX735" s="1323"/>
      <c r="DY735" s="1323"/>
      <c r="DZ735" s="1323">
        <f t="shared" si="25"/>
        <v>0</v>
      </c>
      <c r="EA735" s="1323"/>
      <c r="EB735" s="1323"/>
      <c r="EC735" s="1323"/>
      <c r="ED735" s="1323"/>
      <c r="EE735" s="1323">
        <f t="shared" si="26"/>
        <v>0</v>
      </c>
      <c r="EF735" s="1323"/>
      <c r="EG735" s="1323"/>
      <c r="EH735" s="1323"/>
      <c r="EI735" s="1323"/>
      <c r="EJ735" s="1323">
        <f t="shared" si="27"/>
        <v>0</v>
      </c>
      <c r="EK735" s="1323"/>
      <c r="EL735" s="1323"/>
      <c r="EM735" s="1323"/>
      <c r="EN735" s="1323"/>
      <c r="EO735" s="1323">
        <f t="shared" si="28"/>
        <v>0</v>
      </c>
      <c r="EP735" s="1323"/>
      <c r="EQ735" s="1323"/>
      <c r="ER735" s="1323"/>
      <c r="ES735" s="1323"/>
      <c r="ET735" s="1323">
        <f t="shared" si="29"/>
        <v>0</v>
      </c>
      <c r="EU735" s="1323"/>
      <c r="EV735" s="1323"/>
      <c r="EW735" s="1323"/>
      <c r="EX735" s="1323"/>
      <c r="EZ735" s="1296" t="str">
        <f t="shared" si="30"/>
        <v/>
      </c>
      <c r="FA735" s="1297"/>
      <c r="FB735" s="1297"/>
      <c r="FC735" s="1297"/>
      <c r="FD735" s="1298"/>
      <c r="FE735" s="1296" t="str">
        <f t="shared" si="31"/>
        <v/>
      </c>
      <c r="FF735" s="1297"/>
      <c r="FG735" s="1297"/>
      <c r="FH735" s="1297"/>
      <c r="FI735" s="1298"/>
      <c r="FJ735" s="1296" t="str">
        <f t="shared" si="32"/>
        <v/>
      </c>
      <c r="FK735" s="1297"/>
      <c r="FL735" s="1297"/>
      <c r="FM735" s="1297"/>
      <c r="FN735" s="1298"/>
      <c r="FO735" s="1296" t="str">
        <f t="shared" si="33"/>
        <v/>
      </c>
      <c r="FP735" s="1297"/>
      <c r="FQ735" s="1297"/>
      <c r="FR735" s="1297"/>
      <c r="FS735" s="1298"/>
      <c r="FT735" s="1296" t="str">
        <f t="shared" si="34"/>
        <v/>
      </c>
      <c r="FU735" s="1297"/>
      <c r="FV735" s="1297"/>
      <c r="FW735" s="1297"/>
      <c r="FX735" s="1298"/>
      <c r="FY735" s="1296" t="str">
        <f t="shared" si="35"/>
        <v/>
      </c>
      <c r="FZ735" s="1297"/>
      <c r="GA735" s="1297"/>
      <c r="GB735" s="1297"/>
      <c r="GC735" s="1298"/>
    </row>
    <row r="736" spans="1:185" ht="13" customHeight="1">
      <c r="B736" s="1310"/>
      <c r="C736" s="1311"/>
      <c r="D736" s="1311"/>
      <c r="E736" s="1311"/>
      <c r="F736" s="1312"/>
      <c r="G736" s="1319"/>
      <c r="H736" s="1320"/>
      <c r="I736" s="1320"/>
      <c r="J736" s="1321"/>
      <c r="K736" s="1545"/>
      <c r="L736" s="1546"/>
      <c r="M736" s="1546"/>
      <c r="N736" s="1547"/>
      <c r="O736" s="1420"/>
      <c r="P736" s="1421"/>
      <c r="Q736" s="1421"/>
      <c r="R736" s="1421"/>
      <c r="S736" s="1422"/>
      <c r="T736" s="1420"/>
      <c r="U736" s="1421"/>
      <c r="V736" s="1421"/>
      <c r="W736" s="1422"/>
      <c r="X736" s="1313">
        <f t="shared" si="8"/>
        <v>0</v>
      </c>
      <c r="Y736" s="1314"/>
      <c r="Z736" s="1314"/>
      <c r="AA736" s="1314"/>
      <c r="AB736" s="1315"/>
      <c r="AC736" s="1554"/>
      <c r="AD736" s="1555"/>
      <c r="AE736" s="1555"/>
      <c r="AF736" s="1555"/>
      <c r="AG736" s="1556"/>
      <c r="AH736" s="1316" t="str">
        <f t="shared" si="36"/>
        <v/>
      </c>
      <c r="AI736" s="1317"/>
      <c r="AJ736" s="1318"/>
      <c r="AK736" s="1310" t="s">
        <v>798</v>
      </c>
      <c r="AL736" s="1311"/>
      <c r="AM736" s="1311"/>
      <c r="AN736" s="1311"/>
      <c r="AO736" s="1312"/>
      <c r="AP736" s="2"/>
      <c r="AQ736" s="2"/>
      <c r="AR736" s="2"/>
      <c r="AS736" s="2"/>
      <c r="AY736" s="763"/>
      <c r="AZ736" s="68" t="str">
        <f t="shared" si="9"/>
        <v>N/A</v>
      </c>
      <c r="BA736" s="2"/>
      <c r="BB736" s="2"/>
      <c r="BC736" s="2"/>
      <c r="BD736" s="2"/>
      <c r="BE736" s="113"/>
      <c r="BF736" s="178">
        <f t="shared" si="10"/>
        <v>0</v>
      </c>
      <c r="BG736" s="181">
        <f t="shared" si="11"/>
        <v>0</v>
      </c>
      <c r="BH736" s="182" t="str">
        <f t="shared" si="12"/>
        <v/>
      </c>
      <c r="BI736" s="2"/>
      <c r="BJ736" s="2"/>
      <c r="BK736" s="2"/>
      <c r="BL736" s="2"/>
      <c r="BM736" s="2"/>
      <c r="BN736" s="2"/>
      <c r="BS736" s="178">
        <f t="shared" si="13"/>
        <v>0</v>
      </c>
      <c r="BT736" s="181">
        <f t="shared" si="14"/>
        <v>0</v>
      </c>
      <c r="BU736" s="182" t="str">
        <f t="shared" si="15"/>
        <v/>
      </c>
      <c r="BV736" s="2"/>
      <c r="BW736" s="2"/>
      <c r="BX736" s="2"/>
      <c r="BY736" s="2"/>
      <c r="BZ736" s="2"/>
      <c r="CA736" s="2"/>
      <c r="CB736" s="2"/>
      <c r="CC736" s="2"/>
      <c r="CE736" s="2"/>
      <c r="CF736" s="2"/>
      <c r="CG736" s="1296">
        <f t="shared" si="37"/>
        <v>0</v>
      </c>
      <c r="CH736" s="1298"/>
      <c r="CI736" s="1296">
        <f t="shared" si="38"/>
        <v>0</v>
      </c>
      <c r="CJ736" s="1298"/>
      <c r="CK736" s="1296">
        <f t="shared" si="16"/>
        <v>0</v>
      </c>
      <c r="CL736" s="1298"/>
      <c r="CM736" s="1296">
        <f t="shared" si="17"/>
        <v>0</v>
      </c>
      <c r="CN736" s="1298"/>
      <c r="CO736" s="2"/>
      <c r="CP736" s="1293">
        <f t="shared" si="18"/>
        <v>0</v>
      </c>
      <c r="CQ736" s="1294"/>
      <c r="CR736" s="1294"/>
      <c r="CS736" s="1294"/>
      <c r="CT736" s="1295"/>
      <c r="CU736" s="1309">
        <f t="shared" si="19"/>
        <v>0</v>
      </c>
      <c r="CV736" s="1309"/>
      <c r="CW736" s="1309"/>
      <c r="CX736" s="1309"/>
      <c r="CY736" s="1309"/>
      <c r="CZ736" s="1309">
        <f t="shared" si="20"/>
        <v>0</v>
      </c>
      <c r="DA736" s="1309"/>
      <c r="DB736" s="1309"/>
      <c r="DC736" s="1309"/>
      <c r="DD736" s="1309"/>
      <c r="DE736" s="1309">
        <f t="shared" si="21"/>
        <v>0</v>
      </c>
      <c r="DF736" s="1309"/>
      <c r="DG736" s="1309"/>
      <c r="DH736" s="1309"/>
      <c r="DI736" s="1309"/>
      <c r="DJ736" s="1309">
        <f t="shared" si="22"/>
        <v>0</v>
      </c>
      <c r="DK736" s="1309"/>
      <c r="DL736" s="1309"/>
      <c r="DM736" s="1309"/>
      <c r="DN736" s="1309"/>
      <c r="DO736" s="1309">
        <f t="shared" si="23"/>
        <v>0</v>
      </c>
      <c r="DP736" s="1309"/>
      <c r="DQ736" s="1309"/>
      <c r="DR736" s="1309"/>
      <c r="DS736" s="1309"/>
      <c r="DT736" s="1151"/>
      <c r="DU736" s="1323">
        <f t="shared" si="24"/>
        <v>0</v>
      </c>
      <c r="DV736" s="1323"/>
      <c r="DW736" s="1323"/>
      <c r="DX736" s="1323"/>
      <c r="DY736" s="1323"/>
      <c r="DZ736" s="1323">
        <f t="shared" si="25"/>
        <v>0</v>
      </c>
      <c r="EA736" s="1323"/>
      <c r="EB736" s="1323"/>
      <c r="EC736" s="1323"/>
      <c r="ED736" s="1323"/>
      <c r="EE736" s="1323">
        <f t="shared" si="26"/>
        <v>0</v>
      </c>
      <c r="EF736" s="1323"/>
      <c r="EG736" s="1323"/>
      <c r="EH736" s="1323"/>
      <c r="EI736" s="1323"/>
      <c r="EJ736" s="1323">
        <f t="shared" si="27"/>
        <v>0</v>
      </c>
      <c r="EK736" s="1323"/>
      <c r="EL736" s="1323"/>
      <c r="EM736" s="1323"/>
      <c r="EN736" s="1323"/>
      <c r="EO736" s="1323">
        <f t="shared" si="28"/>
        <v>0</v>
      </c>
      <c r="EP736" s="1323"/>
      <c r="EQ736" s="1323"/>
      <c r="ER736" s="1323"/>
      <c r="ES736" s="1323"/>
      <c r="ET736" s="1323">
        <f t="shared" si="29"/>
        <v>0</v>
      </c>
      <c r="EU736" s="1323"/>
      <c r="EV736" s="1323"/>
      <c r="EW736" s="1323"/>
      <c r="EX736" s="1323"/>
      <c r="EZ736" s="1296" t="str">
        <f t="shared" si="30"/>
        <v/>
      </c>
      <c r="FA736" s="1297"/>
      <c r="FB736" s="1297"/>
      <c r="FC736" s="1297"/>
      <c r="FD736" s="1298"/>
      <c r="FE736" s="1296" t="str">
        <f t="shared" si="31"/>
        <v/>
      </c>
      <c r="FF736" s="1297"/>
      <c r="FG736" s="1297"/>
      <c r="FH736" s="1297"/>
      <c r="FI736" s="1298"/>
      <c r="FJ736" s="1296" t="str">
        <f t="shared" si="32"/>
        <v/>
      </c>
      <c r="FK736" s="1297"/>
      <c r="FL736" s="1297"/>
      <c r="FM736" s="1297"/>
      <c r="FN736" s="1298"/>
      <c r="FO736" s="1296" t="str">
        <f t="shared" si="33"/>
        <v/>
      </c>
      <c r="FP736" s="1297"/>
      <c r="FQ736" s="1297"/>
      <c r="FR736" s="1297"/>
      <c r="FS736" s="1298"/>
      <c r="FT736" s="1296" t="str">
        <f t="shared" si="34"/>
        <v/>
      </c>
      <c r="FU736" s="1297"/>
      <c r="FV736" s="1297"/>
      <c r="FW736" s="1297"/>
      <c r="FX736" s="1298"/>
      <c r="FY736" s="1296" t="str">
        <f t="shared" si="35"/>
        <v/>
      </c>
      <c r="FZ736" s="1297"/>
      <c r="GA736" s="1297"/>
      <c r="GB736" s="1297"/>
      <c r="GC736" s="1298"/>
    </row>
    <row r="737" spans="1:185" ht="13" customHeight="1">
      <c r="B737" s="1310"/>
      <c r="C737" s="1311"/>
      <c r="D737" s="1311"/>
      <c r="E737" s="1311"/>
      <c r="F737" s="1312"/>
      <c r="G737" s="1319"/>
      <c r="H737" s="1320"/>
      <c r="I737" s="1320"/>
      <c r="J737" s="1321"/>
      <c r="K737" s="1545"/>
      <c r="L737" s="1546"/>
      <c r="M737" s="1546"/>
      <c r="N737" s="1547"/>
      <c r="O737" s="1420"/>
      <c r="P737" s="1421"/>
      <c r="Q737" s="1421"/>
      <c r="R737" s="1421"/>
      <c r="S737" s="1422"/>
      <c r="T737" s="1420"/>
      <c r="U737" s="1421"/>
      <c r="V737" s="1421"/>
      <c r="W737" s="1422"/>
      <c r="X737" s="1313">
        <f t="shared" si="8"/>
        <v>0</v>
      </c>
      <c r="Y737" s="1314"/>
      <c r="Z737" s="1314"/>
      <c r="AA737" s="1314"/>
      <c r="AB737" s="1315"/>
      <c r="AC737" s="1554"/>
      <c r="AD737" s="1555"/>
      <c r="AE737" s="1555"/>
      <c r="AF737" s="1555"/>
      <c r="AG737" s="1556"/>
      <c r="AH737" s="1316" t="str">
        <f t="shared" si="36"/>
        <v/>
      </c>
      <c r="AI737" s="1317"/>
      <c r="AJ737" s="1318"/>
      <c r="AK737" s="1310" t="s">
        <v>798</v>
      </c>
      <c r="AL737" s="1311"/>
      <c r="AM737" s="1311"/>
      <c r="AN737" s="1311"/>
      <c r="AO737" s="1312"/>
      <c r="AP737" s="2"/>
      <c r="AQ737" s="2"/>
      <c r="AR737" s="2"/>
      <c r="AS737" s="2"/>
      <c r="AY737" s="763"/>
      <c r="AZ737" s="68" t="str">
        <f t="shared" si="9"/>
        <v>N/A</v>
      </c>
      <c r="BA737" s="2"/>
      <c r="BB737" s="2"/>
      <c r="BC737" s="2"/>
      <c r="BD737" s="2"/>
      <c r="BE737" s="113"/>
      <c r="BF737" s="178">
        <f t="shared" si="10"/>
        <v>0</v>
      </c>
      <c r="BG737" s="181">
        <f t="shared" si="11"/>
        <v>0</v>
      </c>
      <c r="BH737" s="182" t="str">
        <f t="shared" si="12"/>
        <v/>
      </c>
      <c r="BI737" s="2"/>
      <c r="BJ737" s="2"/>
      <c r="BK737" s="2"/>
      <c r="BL737" s="2"/>
      <c r="BM737" s="2"/>
      <c r="BN737" s="2"/>
      <c r="BS737" s="178">
        <f t="shared" si="13"/>
        <v>0</v>
      </c>
      <c r="BT737" s="181">
        <f t="shared" si="14"/>
        <v>0</v>
      </c>
      <c r="BU737" s="182" t="str">
        <f t="shared" si="15"/>
        <v/>
      </c>
      <c r="BV737" s="2"/>
      <c r="BW737" s="2"/>
      <c r="BX737" s="2"/>
      <c r="BY737" s="2"/>
      <c r="BZ737" s="2"/>
      <c r="CA737" s="2"/>
      <c r="CB737" s="2"/>
      <c r="CC737" s="2"/>
      <c r="CE737" s="2"/>
      <c r="CF737" s="2"/>
      <c r="CG737" s="1296">
        <f t="shared" si="37"/>
        <v>0</v>
      </c>
      <c r="CH737" s="1298"/>
      <c r="CI737" s="1296">
        <f t="shared" si="38"/>
        <v>0</v>
      </c>
      <c r="CJ737" s="1298"/>
      <c r="CK737" s="1296">
        <f t="shared" si="16"/>
        <v>0</v>
      </c>
      <c r="CL737" s="1298"/>
      <c r="CM737" s="1296">
        <f t="shared" si="17"/>
        <v>0</v>
      </c>
      <c r="CN737" s="1298"/>
      <c r="CO737" s="2"/>
      <c r="CP737" s="1293">
        <f t="shared" si="18"/>
        <v>0</v>
      </c>
      <c r="CQ737" s="1294"/>
      <c r="CR737" s="1294"/>
      <c r="CS737" s="1294"/>
      <c r="CT737" s="1295"/>
      <c r="CU737" s="1309">
        <f t="shared" si="19"/>
        <v>0</v>
      </c>
      <c r="CV737" s="1309"/>
      <c r="CW737" s="1309"/>
      <c r="CX737" s="1309"/>
      <c r="CY737" s="1309"/>
      <c r="CZ737" s="1309">
        <f t="shared" si="20"/>
        <v>0</v>
      </c>
      <c r="DA737" s="1309"/>
      <c r="DB737" s="1309"/>
      <c r="DC737" s="1309"/>
      <c r="DD737" s="1309"/>
      <c r="DE737" s="1309">
        <f t="shared" si="21"/>
        <v>0</v>
      </c>
      <c r="DF737" s="1309"/>
      <c r="DG737" s="1309"/>
      <c r="DH737" s="1309"/>
      <c r="DI737" s="1309"/>
      <c r="DJ737" s="1309">
        <f t="shared" si="22"/>
        <v>0</v>
      </c>
      <c r="DK737" s="1309"/>
      <c r="DL737" s="1309"/>
      <c r="DM737" s="1309"/>
      <c r="DN737" s="1309"/>
      <c r="DO737" s="1309">
        <f t="shared" si="23"/>
        <v>0</v>
      </c>
      <c r="DP737" s="1309"/>
      <c r="DQ737" s="1309"/>
      <c r="DR737" s="1309"/>
      <c r="DS737" s="1309"/>
      <c r="DT737" s="1151"/>
      <c r="DU737" s="1323">
        <f t="shared" si="24"/>
        <v>0</v>
      </c>
      <c r="DV737" s="1323"/>
      <c r="DW737" s="1323"/>
      <c r="DX737" s="1323"/>
      <c r="DY737" s="1323"/>
      <c r="DZ737" s="1323">
        <f t="shared" si="25"/>
        <v>0</v>
      </c>
      <c r="EA737" s="1323"/>
      <c r="EB737" s="1323"/>
      <c r="EC737" s="1323"/>
      <c r="ED737" s="1323"/>
      <c r="EE737" s="1323">
        <f t="shared" si="26"/>
        <v>0</v>
      </c>
      <c r="EF737" s="1323"/>
      <c r="EG737" s="1323"/>
      <c r="EH737" s="1323"/>
      <c r="EI737" s="1323"/>
      <c r="EJ737" s="1323">
        <f t="shared" si="27"/>
        <v>0</v>
      </c>
      <c r="EK737" s="1323"/>
      <c r="EL737" s="1323"/>
      <c r="EM737" s="1323"/>
      <c r="EN737" s="1323"/>
      <c r="EO737" s="1323">
        <f t="shared" si="28"/>
        <v>0</v>
      </c>
      <c r="EP737" s="1323"/>
      <c r="EQ737" s="1323"/>
      <c r="ER737" s="1323"/>
      <c r="ES737" s="1323"/>
      <c r="ET737" s="1323">
        <f t="shared" si="29"/>
        <v>0</v>
      </c>
      <c r="EU737" s="1323"/>
      <c r="EV737" s="1323"/>
      <c r="EW737" s="1323"/>
      <c r="EX737" s="1323"/>
      <c r="EZ737" s="1296" t="str">
        <f t="shared" si="30"/>
        <v/>
      </c>
      <c r="FA737" s="1297"/>
      <c r="FB737" s="1297"/>
      <c r="FC737" s="1297"/>
      <c r="FD737" s="1298"/>
      <c r="FE737" s="1296" t="str">
        <f t="shared" si="31"/>
        <v/>
      </c>
      <c r="FF737" s="1297"/>
      <c r="FG737" s="1297"/>
      <c r="FH737" s="1297"/>
      <c r="FI737" s="1298"/>
      <c r="FJ737" s="1296" t="str">
        <f t="shared" si="32"/>
        <v/>
      </c>
      <c r="FK737" s="1297"/>
      <c r="FL737" s="1297"/>
      <c r="FM737" s="1297"/>
      <c r="FN737" s="1298"/>
      <c r="FO737" s="1296" t="str">
        <f t="shared" si="33"/>
        <v/>
      </c>
      <c r="FP737" s="1297"/>
      <c r="FQ737" s="1297"/>
      <c r="FR737" s="1297"/>
      <c r="FS737" s="1298"/>
      <c r="FT737" s="1296" t="str">
        <f t="shared" si="34"/>
        <v/>
      </c>
      <c r="FU737" s="1297"/>
      <c r="FV737" s="1297"/>
      <c r="FW737" s="1297"/>
      <c r="FX737" s="1298"/>
      <c r="FY737" s="1296" t="str">
        <f t="shared" si="35"/>
        <v/>
      </c>
      <c r="FZ737" s="1297"/>
      <c r="GA737" s="1297"/>
      <c r="GB737" s="1297"/>
      <c r="GC737" s="1298"/>
    </row>
    <row r="738" spans="1:185" ht="13" customHeight="1">
      <c r="B738" s="1310"/>
      <c r="C738" s="1311"/>
      <c r="D738" s="1311"/>
      <c r="E738" s="1311"/>
      <c r="F738" s="1312"/>
      <c r="G738" s="1319"/>
      <c r="H738" s="1320"/>
      <c r="I738" s="1320"/>
      <c r="J738" s="1321"/>
      <c r="K738" s="1545"/>
      <c r="L738" s="1546"/>
      <c r="M738" s="1546"/>
      <c r="N738" s="1547"/>
      <c r="O738" s="1420"/>
      <c r="P738" s="1421"/>
      <c r="Q738" s="1421"/>
      <c r="R738" s="1421"/>
      <c r="S738" s="1422"/>
      <c r="T738" s="1420"/>
      <c r="U738" s="1421"/>
      <c r="V738" s="1421"/>
      <c r="W738" s="1422"/>
      <c r="X738" s="1313">
        <f t="shared" si="8"/>
        <v>0</v>
      </c>
      <c r="Y738" s="1314"/>
      <c r="Z738" s="1314"/>
      <c r="AA738" s="1314"/>
      <c r="AB738" s="1315"/>
      <c r="AC738" s="1554"/>
      <c r="AD738" s="1555"/>
      <c r="AE738" s="1555"/>
      <c r="AF738" s="1555"/>
      <c r="AG738" s="1556"/>
      <c r="AH738" s="1316" t="str">
        <f t="shared" si="36"/>
        <v/>
      </c>
      <c r="AI738" s="1317"/>
      <c r="AJ738" s="1318"/>
      <c r="AK738" s="1310" t="s">
        <v>798</v>
      </c>
      <c r="AL738" s="1311"/>
      <c r="AM738" s="1311"/>
      <c r="AN738" s="1311"/>
      <c r="AO738" s="1312"/>
      <c r="AP738" s="2"/>
      <c r="AQ738" s="2"/>
      <c r="AR738" s="2"/>
      <c r="AS738" s="2"/>
      <c r="AY738" s="763"/>
      <c r="AZ738" s="68" t="str">
        <f t="shared" si="9"/>
        <v>N/A</v>
      </c>
      <c r="BA738" s="2"/>
      <c r="BE738" s="113"/>
      <c r="BF738" s="178">
        <f t="shared" si="10"/>
        <v>0</v>
      </c>
      <c r="BG738" s="181">
        <f t="shared" si="11"/>
        <v>0</v>
      </c>
      <c r="BH738" s="182" t="str">
        <f t="shared" si="12"/>
        <v/>
      </c>
      <c r="BK738" s="2"/>
      <c r="BL738" s="2"/>
      <c r="BM738" s="2"/>
      <c r="BN738" s="2"/>
      <c r="BS738" s="178">
        <f t="shared" si="13"/>
        <v>0</v>
      </c>
      <c r="BT738" s="181">
        <f t="shared" si="14"/>
        <v>0</v>
      </c>
      <c r="BU738" s="182" t="str">
        <f t="shared" si="15"/>
        <v/>
      </c>
      <c r="BV738" s="2"/>
      <c r="BW738" s="2"/>
      <c r="BX738" s="2"/>
      <c r="BY738" s="2"/>
      <c r="BZ738" s="2"/>
      <c r="CA738" s="2"/>
      <c r="CB738" s="2"/>
      <c r="CC738" s="2"/>
      <c r="CE738" s="2"/>
      <c r="CF738" s="2"/>
      <c r="CG738" s="1296">
        <f t="shared" si="37"/>
        <v>0</v>
      </c>
      <c r="CH738" s="1298"/>
      <c r="CI738" s="1296">
        <f t="shared" si="38"/>
        <v>0</v>
      </c>
      <c r="CJ738" s="1298"/>
      <c r="CK738" s="1296">
        <f t="shared" si="16"/>
        <v>0</v>
      </c>
      <c r="CL738" s="1298"/>
      <c r="CM738" s="1296">
        <f t="shared" si="17"/>
        <v>0</v>
      </c>
      <c r="CN738" s="1298"/>
      <c r="CO738" s="2"/>
      <c r="CP738" s="1293">
        <f t="shared" si="18"/>
        <v>0</v>
      </c>
      <c r="CQ738" s="1294"/>
      <c r="CR738" s="1294"/>
      <c r="CS738" s="1294"/>
      <c r="CT738" s="1295"/>
      <c r="CU738" s="1309">
        <f t="shared" si="19"/>
        <v>0</v>
      </c>
      <c r="CV738" s="1309"/>
      <c r="CW738" s="1309"/>
      <c r="CX738" s="1309"/>
      <c r="CY738" s="1309"/>
      <c r="CZ738" s="1309">
        <f t="shared" si="20"/>
        <v>0</v>
      </c>
      <c r="DA738" s="1309"/>
      <c r="DB738" s="1309"/>
      <c r="DC738" s="1309"/>
      <c r="DD738" s="1309"/>
      <c r="DE738" s="1309">
        <f t="shared" si="21"/>
        <v>0</v>
      </c>
      <c r="DF738" s="1309"/>
      <c r="DG738" s="1309"/>
      <c r="DH738" s="1309"/>
      <c r="DI738" s="1309"/>
      <c r="DJ738" s="1309">
        <f t="shared" si="22"/>
        <v>0</v>
      </c>
      <c r="DK738" s="1309"/>
      <c r="DL738" s="1309"/>
      <c r="DM738" s="1309"/>
      <c r="DN738" s="1309"/>
      <c r="DO738" s="1309">
        <f t="shared" si="23"/>
        <v>0</v>
      </c>
      <c r="DP738" s="1309"/>
      <c r="DQ738" s="1309"/>
      <c r="DR738" s="1309"/>
      <c r="DS738" s="1309"/>
      <c r="DT738" s="1151"/>
      <c r="DU738" s="1323">
        <f t="shared" si="24"/>
        <v>0</v>
      </c>
      <c r="DV738" s="1323"/>
      <c r="DW738" s="1323"/>
      <c r="DX738" s="1323"/>
      <c r="DY738" s="1323"/>
      <c r="DZ738" s="1323">
        <f t="shared" si="25"/>
        <v>0</v>
      </c>
      <c r="EA738" s="1323"/>
      <c r="EB738" s="1323"/>
      <c r="EC738" s="1323"/>
      <c r="ED738" s="1323"/>
      <c r="EE738" s="1323">
        <f t="shared" si="26"/>
        <v>0</v>
      </c>
      <c r="EF738" s="1323"/>
      <c r="EG738" s="1323"/>
      <c r="EH738" s="1323"/>
      <c r="EI738" s="1323"/>
      <c r="EJ738" s="1323">
        <f t="shared" si="27"/>
        <v>0</v>
      </c>
      <c r="EK738" s="1323"/>
      <c r="EL738" s="1323"/>
      <c r="EM738" s="1323"/>
      <c r="EN738" s="1323"/>
      <c r="EO738" s="1323">
        <f t="shared" si="28"/>
        <v>0</v>
      </c>
      <c r="EP738" s="1323"/>
      <c r="EQ738" s="1323"/>
      <c r="ER738" s="1323"/>
      <c r="ES738" s="1323"/>
      <c r="ET738" s="1323">
        <f t="shared" si="29"/>
        <v>0</v>
      </c>
      <c r="EU738" s="1323"/>
      <c r="EV738" s="1323"/>
      <c r="EW738" s="1323"/>
      <c r="EX738" s="1323"/>
      <c r="EZ738" s="1296" t="str">
        <f t="shared" si="30"/>
        <v/>
      </c>
      <c r="FA738" s="1297"/>
      <c r="FB738" s="1297"/>
      <c r="FC738" s="1297"/>
      <c r="FD738" s="1298"/>
      <c r="FE738" s="1296" t="str">
        <f t="shared" si="31"/>
        <v/>
      </c>
      <c r="FF738" s="1297"/>
      <c r="FG738" s="1297"/>
      <c r="FH738" s="1297"/>
      <c r="FI738" s="1298"/>
      <c r="FJ738" s="1296" t="str">
        <f t="shared" si="32"/>
        <v/>
      </c>
      <c r="FK738" s="1297"/>
      <c r="FL738" s="1297"/>
      <c r="FM738" s="1297"/>
      <c r="FN738" s="1298"/>
      <c r="FO738" s="1296" t="str">
        <f t="shared" si="33"/>
        <v/>
      </c>
      <c r="FP738" s="1297"/>
      <c r="FQ738" s="1297"/>
      <c r="FR738" s="1297"/>
      <c r="FS738" s="1298"/>
      <c r="FT738" s="1296" t="str">
        <f t="shared" si="34"/>
        <v/>
      </c>
      <c r="FU738" s="1297"/>
      <c r="FV738" s="1297"/>
      <c r="FW738" s="1297"/>
      <c r="FX738" s="1298"/>
      <c r="FY738" s="1296" t="str">
        <f t="shared" si="35"/>
        <v/>
      </c>
      <c r="FZ738" s="1297"/>
      <c r="GA738" s="1297"/>
      <c r="GB738" s="1297"/>
      <c r="GC738" s="1298"/>
    </row>
    <row r="739" spans="1:185" ht="13" customHeight="1">
      <c r="B739" s="1310"/>
      <c r="C739" s="1311"/>
      <c r="D739" s="1311"/>
      <c r="E739" s="1311"/>
      <c r="F739" s="1312"/>
      <c r="G739" s="1319"/>
      <c r="H739" s="1320"/>
      <c r="I739" s="1320"/>
      <c r="J739" s="1321"/>
      <c r="K739" s="1545"/>
      <c r="L739" s="1546"/>
      <c r="M739" s="1546"/>
      <c r="N739" s="1547"/>
      <c r="O739" s="1420"/>
      <c r="P739" s="1421"/>
      <c r="Q739" s="1421"/>
      <c r="R739" s="1421"/>
      <c r="S739" s="1422"/>
      <c r="T739" s="1420"/>
      <c r="U739" s="1421"/>
      <c r="V739" s="1421"/>
      <c r="W739" s="1422"/>
      <c r="X739" s="1313">
        <f t="shared" si="8"/>
        <v>0</v>
      </c>
      <c r="Y739" s="1314"/>
      <c r="Z739" s="1314"/>
      <c r="AA739" s="1314"/>
      <c r="AB739" s="1315"/>
      <c r="AC739" s="1554"/>
      <c r="AD739" s="1555"/>
      <c r="AE739" s="1555"/>
      <c r="AF739" s="1555"/>
      <c r="AG739" s="1556"/>
      <c r="AH739" s="1316" t="str">
        <f t="shared" si="36"/>
        <v/>
      </c>
      <c r="AI739" s="1317"/>
      <c r="AJ739" s="1318"/>
      <c r="AK739" s="1310" t="s">
        <v>798</v>
      </c>
      <c r="AL739" s="1311"/>
      <c r="AM739" s="1311"/>
      <c r="AN739" s="1311"/>
      <c r="AO739" s="1312"/>
      <c r="AP739" s="2"/>
      <c r="AQ739" s="2"/>
      <c r="AR739" s="2"/>
      <c r="AS739" s="2"/>
      <c r="AY739" s="763"/>
      <c r="AZ739" s="68" t="str">
        <f t="shared" si="9"/>
        <v>N/A</v>
      </c>
      <c r="BA739" s="2"/>
      <c r="BE739" s="113"/>
      <c r="BF739" s="178">
        <f t="shared" si="10"/>
        <v>0</v>
      </c>
      <c r="BG739" s="181">
        <f t="shared" si="11"/>
        <v>0</v>
      </c>
      <c r="BH739" s="182" t="str">
        <f t="shared" si="12"/>
        <v/>
      </c>
      <c r="BK739" s="2"/>
      <c r="BL739" s="2"/>
      <c r="BM739" s="2"/>
      <c r="BN739" s="2"/>
      <c r="BS739" s="178">
        <f t="shared" si="13"/>
        <v>0</v>
      </c>
      <c r="BT739" s="181">
        <f t="shared" si="14"/>
        <v>0</v>
      </c>
      <c r="BU739" s="182" t="str">
        <f t="shared" si="15"/>
        <v/>
      </c>
      <c r="BV739" s="2"/>
      <c r="BW739" s="2"/>
      <c r="BX739" s="2"/>
      <c r="BY739" s="2"/>
      <c r="BZ739" s="2"/>
      <c r="CA739" s="2"/>
      <c r="CB739" s="2"/>
      <c r="CC739" s="2"/>
      <c r="CE739" s="2"/>
      <c r="CF739" s="2"/>
      <c r="CG739" s="1296">
        <f t="shared" si="37"/>
        <v>0</v>
      </c>
      <c r="CH739" s="1298"/>
      <c r="CI739" s="1296">
        <f t="shared" si="38"/>
        <v>0</v>
      </c>
      <c r="CJ739" s="1298"/>
      <c r="CK739" s="1296">
        <f t="shared" si="16"/>
        <v>0</v>
      </c>
      <c r="CL739" s="1298"/>
      <c r="CM739" s="1296">
        <f t="shared" si="17"/>
        <v>0</v>
      </c>
      <c r="CN739" s="1298"/>
      <c r="CO739" s="2"/>
      <c r="CP739" s="1293">
        <f t="shared" si="18"/>
        <v>0</v>
      </c>
      <c r="CQ739" s="1294"/>
      <c r="CR739" s="1294"/>
      <c r="CS739" s="1294"/>
      <c r="CT739" s="1295"/>
      <c r="CU739" s="1309">
        <f t="shared" si="19"/>
        <v>0</v>
      </c>
      <c r="CV739" s="1309"/>
      <c r="CW739" s="1309"/>
      <c r="CX739" s="1309"/>
      <c r="CY739" s="1309"/>
      <c r="CZ739" s="1309">
        <f t="shared" si="20"/>
        <v>0</v>
      </c>
      <c r="DA739" s="1309"/>
      <c r="DB739" s="1309"/>
      <c r="DC739" s="1309"/>
      <c r="DD739" s="1309"/>
      <c r="DE739" s="1309">
        <f t="shared" si="21"/>
        <v>0</v>
      </c>
      <c r="DF739" s="1309"/>
      <c r="DG739" s="1309"/>
      <c r="DH739" s="1309"/>
      <c r="DI739" s="1309"/>
      <c r="DJ739" s="1309">
        <f t="shared" si="22"/>
        <v>0</v>
      </c>
      <c r="DK739" s="1309"/>
      <c r="DL739" s="1309"/>
      <c r="DM739" s="1309"/>
      <c r="DN739" s="1309"/>
      <c r="DO739" s="1309">
        <f t="shared" si="23"/>
        <v>0</v>
      </c>
      <c r="DP739" s="1309"/>
      <c r="DQ739" s="1309"/>
      <c r="DR739" s="1309"/>
      <c r="DS739" s="1309"/>
      <c r="DT739" s="1151"/>
      <c r="DU739" s="1323">
        <f t="shared" si="24"/>
        <v>0</v>
      </c>
      <c r="DV739" s="1323"/>
      <c r="DW739" s="1323"/>
      <c r="DX739" s="1323"/>
      <c r="DY739" s="1323"/>
      <c r="DZ739" s="1323">
        <f t="shared" si="25"/>
        <v>0</v>
      </c>
      <c r="EA739" s="1323"/>
      <c r="EB739" s="1323"/>
      <c r="EC739" s="1323"/>
      <c r="ED739" s="1323"/>
      <c r="EE739" s="1323">
        <f t="shared" si="26"/>
        <v>0</v>
      </c>
      <c r="EF739" s="1323"/>
      <c r="EG739" s="1323"/>
      <c r="EH739" s="1323"/>
      <c r="EI739" s="1323"/>
      <c r="EJ739" s="1323">
        <f t="shared" si="27"/>
        <v>0</v>
      </c>
      <c r="EK739" s="1323"/>
      <c r="EL739" s="1323"/>
      <c r="EM739" s="1323"/>
      <c r="EN739" s="1323"/>
      <c r="EO739" s="1323">
        <f t="shared" si="28"/>
        <v>0</v>
      </c>
      <c r="EP739" s="1323"/>
      <c r="EQ739" s="1323"/>
      <c r="ER739" s="1323"/>
      <c r="ES739" s="1323"/>
      <c r="ET739" s="1323">
        <f t="shared" si="29"/>
        <v>0</v>
      </c>
      <c r="EU739" s="1323"/>
      <c r="EV739" s="1323"/>
      <c r="EW739" s="1323"/>
      <c r="EX739" s="1323"/>
      <c r="EZ739" s="1296" t="str">
        <f t="shared" si="30"/>
        <v/>
      </c>
      <c r="FA739" s="1297"/>
      <c r="FB739" s="1297"/>
      <c r="FC739" s="1297"/>
      <c r="FD739" s="1298"/>
      <c r="FE739" s="1296" t="str">
        <f t="shared" si="31"/>
        <v/>
      </c>
      <c r="FF739" s="1297"/>
      <c r="FG739" s="1297"/>
      <c r="FH739" s="1297"/>
      <c r="FI739" s="1298"/>
      <c r="FJ739" s="1296" t="str">
        <f t="shared" si="32"/>
        <v/>
      </c>
      <c r="FK739" s="1297"/>
      <c r="FL739" s="1297"/>
      <c r="FM739" s="1297"/>
      <c r="FN739" s="1298"/>
      <c r="FO739" s="1296" t="str">
        <f t="shared" si="33"/>
        <v/>
      </c>
      <c r="FP739" s="1297"/>
      <c r="FQ739" s="1297"/>
      <c r="FR739" s="1297"/>
      <c r="FS739" s="1298"/>
      <c r="FT739" s="1296" t="str">
        <f t="shared" si="34"/>
        <v/>
      </c>
      <c r="FU739" s="1297"/>
      <c r="FV739" s="1297"/>
      <c r="FW739" s="1297"/>
      <c r="FX739" s="1298"/>
      <c r="FY739" s="1296" t="str">
        <f t="shared" si="35"/>
        <v/>
      </c>
      <c r="FZ739" s="1297"/>
      <c r="GA739" s="1297"/>
      <c r="GB739" s="1297"/>
      <c r="GC739" s="1298"/>
    </row>
    <row r="740" spans="1:185" ht="13" customHeight="1">
      <c r="B740" s="1310"/>
      <c r="C740" s="1311"/>
      <c r="D740" s="1311"/>
      <c r="E740" s="1311"/>
      <c r="F740" s="1312"/>
      <c r="G740" s="1319"/>
      <c r="H740" s="1320"/>
      <c r="I740" s="1320"/>
      <c r="J740" s="1321"/>
      <c r="K740" s="1545"/>
      <c r="L740" s="1546"/>
      <c r="M740" s="1546"/>
      <c r="N740" s="1547"/>
      <c r="O740" s="1420"/>
      <c r="P740" s="1421"/>
      <c r="Q740" s="1421"/>
      <c r="R740" s="1421"/>
      <c r="S740" s="1422"/>
      <c r="T740" s="1420"/>
      <c r="U740" s="1421"/>
      <c r="V740" s="1421"/>
      <c r="W740" s="1422"/>
      <c r="X740" s="1313">
        <f t="shared" si="8"/>
        <v>0</v>
      </c>
      <c r="Y740" s="1314"/>
      <c r="Z740" s="1314"/>
      <c r="AA740" s="1314"/>
      <c r="AB740" s="1315"/>
      <c r="AC740" s="1554"/>
      <c r="AD740" s="1555"/>
      <c r="AE740" s="1555"/>
      <c r="AF740" s="1555"/>
      <c r="AG740" s="1556"/>
      <c r="AH740" s="1316" t="str">
        <f t="shared" si="36"/>
        <v/>
      </c>
      <c r="AI740" s="1317"/>
      <c r="AJ740" s="1318"/>
      <c r="AK740" s="1310" t="s">
        <v>798</v>
      </c>
      <c r="AL740" s="1311"/>
      <c r="AM740" s="1311"/>
      <c r="AN740" s="1311"/>
      <c r="AO740" s="1312"/>
      <c r="AP740" s="2"/>
      <c r="AQ740" s="2"/>
      <c r="AR740" s="2"/>
      <c r="AS740" s="2"/>
      <c r="AY740" s="763"/>
      <c r="AZ740" s="68" t="str">
        <f t="shared" si="9"/>
        <v>N/A</v>
      </c>
      <c r="BA740" s="2"/>
      <c r="BE740" s="113"/>
      <c r="BF740" s="178">
        <f t="shared" si="10"/>
        <v>0</v>
      </c>
      <c r="BG740" s="181">
        <f t="shared" si="11"/>
        <v>0</v>
      </c>
      <c r="BH740" s="182" t="str">
        <f t="shared" si="12"/>
        <v/>
      </c>
      <c r="BK740" s="2"/>
      <c r="BL740" s="2"/>
      <c r="BM740" s="2"/>
      <c r="BN740" s="2"/>
      <c r="BS740" s="178">
        <f t="shared" si="13"/>
        <v>0</v>
      </c>
      <c r="BT740" s="181">
        <f t="shared" si="14"/>
        <v>0</v>
      </c>
      <c r="BU740" s="182" t="str">
        <f t="shared" si="15"/>
        <v/>
      </c>
      <c r="BV740" s="2"/>
      <c r="BW740" s="2"/>
      <c r="BX740" s="2"/>
      <c r="BY740" s="2"/>
      <c r="BZ740" s="2"/>
      <c r="CA740" s="2"/>
      <c r="CB740" s="2"/>
      <c r="CC740" s="2"/>
      <c r="CE740" s="2"/>
      <c r="CF740" s="2"/>
      <c r="CG740" s="1296">
        <f t="shared" si="37"/>
        <v>0</v>
      </c>
      <c r="CH740" s="1298"/>
      <c r="CI740" s="1296">
        <f t="shared" si="38"/>
        <v>0</v>
      </c>
      <c r="CJ740" s="1298"/>
      <c r="CK740" s="1296">
        <f t="shared" si="16"/>
        <v>0</v>
      </c>
      <c r="CL740" s="1298"/>
      <c r="CM740" s="1296">
        <f t="shared" si="17"/>
        <v>0</v>
      </c>
      <c r="CN740" s="1298"/>
      <c r="CO740" s="2"/>
      <c r="CP740" s="1293">
        <f t="shared" si="18"/>
        <v>0</v>
      </c>
      <c r="CQ740" s="1294"/>
      <c r="CR740" s="1294"/>
      <c r="CS740" s="1294"/>
      <c r="CT740" s="1295"/>
      <c r="CU740" s="1309">
        <f t="shared" si="19"/>
        <v>0</v>
      </c>
      <c r="CV740" s="1309"/>
      <c r="CW740" s="1309"/>
      <c r="CX740" s="1309"/>
      <c r="CY740" s="1309"/>
      <c r="CZ740" s="1309">
        <f t="shared" si="20"/>
        <v>0</v>
      </c>
      <c r="DA740" s="1309"/>
      <c r="DB740" s="1309"/>
      <c r="DC740" s="1309"/>
      <c r="DD740" s="1309"/>
      <c r="DE740" s="1309">
        <f t="shared" si="21"/>
        <v>0</v>
      </c>
      <c r="DF740" s="1309"/>
      <c r="DG740" s="1309"/>
      <c r="DH740" s="1309"/>
      <c r="DI740" s="1309"/>
      <c r="DJ740" s="1309">
        <f t="shared" si="22"/>
        <v>0</v>
      </c>
      <c r="DK740" s="1309"/>
      <c r="DL740" s="1309"/>
      <c r="DM740" s="1309"/>
      <c r="DN740" s="1309"/>
      <c r="DO740" s="1309">
        <f t="shared" si="23"/>
        <v>0</v>
      </c>
      <c r="DP740" s="1309"/>
      <c r="DQ740" s="1309"/>
      <c r="DR740" s="1309"/>
      <c r="DS740" s="1309"/>
      <c r="DT740" s="1151"/>
      <c r="DU740" s="1323">
        <f t="shared" si="24"/>
        <v>0</v>
      </c>
      <c r="DV740" s="1323"/>
      <c r="DW740" s="1323"/>
      <c r="DX740" s="1323"/>
      <c r="DY740" s="1323"/>
      <c r="DZ740" s="1323">
        <f t="shared" si="25"/>
        <v>0</v>
      </c>
      <c r="EA740" s="1323"/>
      <c r="EB740" s="1323"/>
      <c r="EC740" s="1323"/>
      <c r="ED740" s="1323"/>
      <c r="EE740" s="1323">
        <f t="shared" si="26"/>
        <v>0</v>
      </c>
      <c r="EF740" s="1323"/>
      <c r="EG740" s="1323"/>
      <c r="EH740" s="1323"/>
      <c r="EI740" s="1323"/>
      <c r="EJ740" s="1323">
        <f t="shared" si="27"/>
        <v>0</v>
      </c>
      <c r="EK740" s="1323"/>
      <c r="EL740" s="1323"/>
      <c r="EM740" s="1323"/>
      <c r="EN740" s="1323"/>
      <c r="EO740" s="1323">
        <f t="shared" si="28"/>
        <v>0</v>
      </c>
      <c r="EP740" s="1323"/>
      <c r="EQ740" s="1323"/>
      <c r="ER740" s="1323"/>
      <c r="ES740" s="1323"/>
      <c r="ET740" s="1323">
        <f t="shared" si="29"/>
        <v>0</v>
      </c>
      <c r="EU740" s="1323"/>
      <c r="EV740" s="1323"/>
      <c r="EW740" s="1323"/>
      <c r="EX740" s="1323"/>
      <c r="EZ740" s="1296" t="str">
        <f t="shared" si="30"/>
        <v/>
      </c>
      <c r="FA740" s="1297"/>
      <c r="FB740" s="1297"/>
      <c r="FC740" s="1297"/>
      <c r="FD740" s="1298"/>
      <c r="FE740" s="1296" t="str">
        <f t="shared" si="31"/>
        <v/>
      </c>
      <c r="FF740" s="1297"/>
      <c r="FG740" s="1297"/>
      <c r="FH740" s="1297"/>
      <c r="FI740" s="1298"/>
      <c r="FJ740" s="1296" t="str">
        <f t="shared" si="32"/>
        <v/>
      </c>
      <c r="FK740" s="1297"/>
      <c r="FL740" s="1297"/>
      <c r="FM740" s="1297"/>
      <c r="FN740" s="1298"/>
      <c r="FO740" s="1296" t="str">
        <f t="shared" si="33"/>
        <v/>
      </c>
      <c r="FP740" s="1297"/>
      <c r="FQ740" s="1297"/>
      <c r="FR740" s="1297"/>
      <c r="FS740" s="1298"/>
      <c r="FT740" s="1296" t="str">
        <f t="shared" si="34"/>
        <v/>
      </c>
      <c r="FU740" s="1297"/>
      <c r="FV740" s="1297"/>
      <c r="FW740" s="1297"/>
      <c r="FX740" s="1298"/>
      <c r="FY740" s="1296" t="str">
        <f t="shared" si="35"/>
        <v/>
      </c>
      <c r="FZ740" s="1297"/>
      <c r="GA740" s="1297"/>
      <c r="GB740" s="1297"/>
      <c r="GC740" s="1298"/>
    </row>
    <row r="741" spans="1:185" ht="13" customHeight="1">
      <c r="B741" s="1310"/>
      <c r="C741" s="1311"/>
      <c r="D741" s="1311"/>
      <c r="E741" s="1311"/>
      <c r="F741" s="1312"/>
      <c r="G741" s="1319"/>
      <c r="H741" s="1320"/>
      <c r="I741" s="1320"/>
      <c r="J741" s="1321"/>
      <c r="K741" s="1545"/>
      <c r="L741" s="1546"/>
      <c r="M741" s="1546"/>
      <c r="N741" s="1547"/>
      <c r="O741" s="1420"/>
      <c r="P741" s="1421"/>
      <c r="Q741" s="1421"/>
      <c r="R741" s="1421"/>
      <c r="S741" s="1422"/>
      <c r="T741" s="1420"/>
      <c r="U741" s="1421"/>
      <c r="V741" s="1421"/>
      <c r="W741" s="1422"/>
      <c r="X741" s="1313">
        <f t="shared" si="8"/>
        <v>0</v>
      </c>
      <c r="Y741" s="1314"/>
      <c r="Z741" s="1314"/>
      <c r="AA741" s="1314"/>
      <c r="AB741" s="1315"/>
      <c r="AC741" s="1554"/>
      <c r="AD741" s="1555"/>
      <c r="AE741" s="1555"/>
      <c r="AF741" s="1555"/>
      <c r="AG741" s="1556"/>
      <c r="AH741" s="1316" t="str">
        <f t="shared" si="36"/>
        <v/>
      </c>
      <c r="AI741" s="1317"/>
      <c r="AJ741" s="1318"/>
      <c r="AK741" s="1310" t="s">
        <v>798</v>
      </c>
      <c r="AL741" s="1311"/>
      <c r="AM741" s="1311"/>
      <c r="AN741" s="1311"/>
      <c r="AO741" s="1312"/>
      <c r="AP741" s="2"/>
      <c r="AQ741" s="2"/>
      <c r="AR741" s="2"/>
      <c r="AS741" s="2"/>
      <c r="AY741" s="763"/>
      <c r="AZ741" s="68" t="str">
        <f t="shared" si="9"/>
        <v>N/A</v>
      </c>
      <c r="BA741" s="2"/>
      <c r="BE741" s="113"/>
      <c r="BF741" s="178">
        <f t="shared" si="10"/>
        <v>0</v>
      </c>
      <c r="BG741" s="181">
        <f t="shared" si="11"/>
        <v>0</v>
      </c>
      <c r="BH741" s="182" t="str">
        <f t="shared" si="12"/>
        <v/>
      </c>
      <c r="BK741" s="2"/>
      <c r="BL741" s="2"/>
      <c r="BM741" s="2"/>
      <c r="BN741" s="2"/>
      <c r="BS741" s="178">
        <f t="shared" si="13"/>
        <v>0</v>
      </c>
      <c r="BT741" s="181">
        <f t="shared" si="14"/>
        <v>0</v>
      </c>
      <c r="BU741" s="182" t="str">
        <f t="shared" si="15"/>
        <v/>
      </c>
      <c r="BV741" s="2"/>
      <c r="BW741" s="2"/>
      <c r="BX741" s="2"/>
      <c r="BY741" s="2"/>
      <c r="BZ741" s="2"/>
      <c r="CA741" s="2"/>
      <c r="CB741" s="2"/>
      <c r="CC741" s="2"/>
      <c r="CE741" s="2"/>
      <c r="CF741" s="2"/>
      <c r="CG741" s="1296">
        <f t="shared" si="37"/>
        <v>0</v>
      </c>
      <c r="CH741" s="1298"/>
      <c r="CI741" s="1296">
        <f t="shared" si="38"/>
        <v>0</v>
      </c>
      <c r="CJ741" s="1298"/>
      <c r="CK741" s="1296">
        <f t="shared" si="16"/>
        <v>0</v>
      </c>
      <c r="CL741" s="1298"/>
      <c r="CM741" s="1296">
        <f t="shared" si="17"/>
        <v>0</v>
      </c>
      <c r="CN741" s="1298"/>
      <c r="CO741" s="2"/>
      <c r="CP741" s="1293">
        <f t="shared" si="18"/>
        <v>0</v>
      </c>
      <c r="CQ741" s="1294"/>
      <c r="CR741" s="1294"/>
      <c r="CS741" s="1294"/>
      <c r="CT741" s="1295"/>
      <c r="CU741" s="1309">
        <f t="shared" si="19"/>
        <v>0</v>
      </c>
      <c r="CV741" s="1309"/>
      <c r="CW741" s="1309"/>
      <c r="CX741" s="1309"/>
      <c r="CY741" s="1309"/>
      <c r="CZ741" s="1309">
        <f t="shared" si="20"/>
        <v>0</v>
      </c>
      <c r="DA741" s="1309"/>
      <c r="DB741" s="1309"/>
      <c r="DC741" s="1309"/>
      <c r="DD741" s="1309"/>
      <c r="DE741" s="1309">
        <f t="shared" si="21"/>
        <v>0</v>
      </c>
      <c r="DF741" s="1309"/>
      <c r="DG741" s="1309"/>
      <c r="DH741" s="1309"/>
      <c r="DI741" s="1309"/>
      <c r="DJ741" s="1309">
        <f t="shared" si="22"/>
        <v>0</v>
      </c>
      <c r="DK741" s="1309"/>
      <c r="DL741" s="1309"/>
      <c r="DM741" s="1309"/>
      <c r="DN741" s="1309"/>
      <c r="DO741" s="1309">
        <f t="shared" si="23"/>
        <v>0</v>
      </c>
      <c r="DP741" s="1309"/>
      <c r="DQ741" s="1309"/>
      <c r="DR741" s="1309"/>
      <c r="DS741" s="1309"/>
      <c r="DT741" s="1151"/>
      <c r="DU741" s="1323">
        <f t="shared" si="24"/>
        <v>0</v>
      </c>
      <c r="DV741" s="1323"/>
      <c r="DW741" s="1323"/>
      <c r="DX741" s="1323"/>
      <c r="DY741" s="1323"/>
      <c r="DZ741" s="1323">
        <f t="shared" si="25"/>
        <v>0</v>
      </c>
      <c r="EA741" s="1323"/>
      <c r="EB741" s="1323"/>
      <c r="EC741" s="1323"/>
      <c r="ED741" s="1323"/>
      <c r="EE741" s="1323">
        <f t="shared" si="26"/>
        <v>0</v>
      </c>
      <c r="EF741" s="1323"/>
      <c r="EG741" s="1323"/>
      <c r="EH741" s="1323"/>
      <c r="EI741" s="1323"/>
      <c r="EJ741" s="1323">
        <f t="shared" si="27"/>
        <v>0</v>
      </c>
      <c r="EK741" s="1323"/>
      <c r="EL741" s="1323"/>
      <c r="EM741" s="1323"/>
      <c r="EN741" s="1323"/>
      <c r="EO741" s="1323">
        <f t="shared" si="28"/>
        <v>0</v>
      </c>
      <c r="EP741" s="1323"/>
      <c r="EQ741" s="1323"/>
      <c r="ER741" s="1323"/>
      <c r="ES741" s="1323"/>
      <c r="ET741" s="1323">
        <f t="shared" si="29"/>
        <v>0</v>
      </c>
      <c r="EU741" s="1323"/>
      <c r="EV741" s="1323"/>
      <c r="EW741" s="1323"/>
      <c r="EX741" s="1323"/>
      <c r="EZ741" s="1296" t="str">
        <f t="shared" si="30"/>
        <v/>
      </c>
      <c r="FA741" s="1297"/>
      <c r="FB741" s="1297"/>
      <c r="FC741" s="1297"/>
      <c r="FD741" s="1298"/>
      <c r="FE741" s="1296" t="str">
        <f t="shared" si="31"/>
        <v/>
      </c>
      <c r="FF741" s="1297"/>
      <c r="FG741" s="1297"/>
      <c r="FH741" s="1297"/>
      <c r="FI741" s="1298"/>
      <c r="FJ741" s="1296" t="str">
        <f t="shared" si="32"/>
        <v/>
      </c>
      <c r="FK741" s="1297"/>
      <c r="FL741" s="1297"/>
      <c r="FM741" s="1297"/>
      <c r="FN741" s="1298"/>
      <c r="FO741" s="1296" t="str">
        <f t="shared" si="33"/>
        <v/>
      </c>
      <c r="FP741" s="1297"/>
      <c r="FQ741" s="1297"/>
      <c r="FR741" s="1297"/>
      <c r="FS741" s="1298"/>
      <c r="FT741" s="1296" t="str">
        <f t="shared" si="34"/>
        <v/>
      </c>
      <c r="FU741" s="1297"/>
      <c r="FV741" s="1297"/>
      <c r="FW741" s="1297"/>
      <c r="FX741" s="1298"/>
      <c r="FY741" s="1296" t="str">
        <f t="shared" si="35"/>
        <v/>
      </c>
      <c r="FZ741" s="1297"/>
      <c r="GA741" s="1297"/>
      <c r="GB741" s="1297"/>
      <c r="GC741" s="1298"/>
    </row>
    <row r="742" spans="1:185" ht="13" customHeight="1">
      <c r="B742" s="1310"/>
      <c r="C742" s="1311"/>
      <c r="D742" s="1311"/>
      <c r="E742" s="1311"/>
      <c r="F742" s="1312"/>
      <c r="G742" s="1319"/>
      <c r="H742" s="1320"/>
      <c r="I742" s="1320"/>
      <c r="J742" s="1321"/>
      <c r="K742" s="1545"/>
      <c r="L742" s="1546"/>
      <c r="M742" s="1546"/>
      <c r="N742" s="1547"/>
      <c r="O742" s="1420"/>
      <c r="P742" s="1421"/>
      <c r="Q742" s="1421"/>
      <c r="R742" s="1421"/>
      <c r="S742" s="1422"/>
      <c r="T742" s="1420"/>
      <c r="U742" s="1421"/>
      <c r="V742" s="1421"/>
      <c r="W742" s="1422"/>
      <c r="X742" s="1313">
        <f t="shared" ref="X742:X751" si="39">O742+T742</f>
        <v>0</v>
      </c>
      <c r="Y742" s="1314"/>
      <c r="Z742" s="1314"/>
      <c r="AA742" s="1314"/>
      <c r="AB742" s="1315"/>
      <c r="AC742" s="1554"/>
      <c r="AD742" s="1555"/>
      <c r="AE742" s="1555"/>
      <c r="AF742" s="1555"/>
      <c r="AG742" s="1556"/>
      <c r="AH742" s="1316" t="str">
        <f t="shared" si="36"/>
        <v/>
      </c>
      <c r="AI742" s="1317"/>
      <c r="AJ742" s="1318"/>
      <c r="AK742" s="1310" t="s">
        <v>798</v>
      </c>
      <c r="AL742" s="1311"/>
      <c r="AM742" s="1311"/>
      <c r="AN742" s="1311"/>
      <c r="AO742" s="1312"/>
      <c r="AP742" s="2"/>
      <c r="AQ742" s="2"/>
      <c r="AR742" s="2"/>
      <c r="AS742" s="2"/>
      <c r="AY742" s="763"/>
      <c r="AZ742" s="68" t="str">
        <f t="shared" si="9"/>
        <v>N/A</v>
      </c>
      <c r="BA742" s="2"/>
      <c r="BB742" s="2"/>
      <c r="BE742" s="113"/>
      <c r="BF742" s="178">
        <f t="shared" si="10"/>
        <v>0</v>
      </c>
      <c r="BG742" s="181">
        <f t="shared" si="11"/>
        <v>0</v>
      </c>
      <c r="BH742" s="182" t="str">
        <f t="shared" si="12"/>
        <v/>
      </c>
      <c r="BL742" s="2"/>
      <c r="BM742" s="2"/>
      <c r="BN742" s="2"/>
      <c r="BS742" s="178">
        <f t="shared" si="13"/>
        <v>0</v>
      </c>
      <c r="BT742" s="181">
        <f t="shared" si="14"/>
        <v>0</v>
      </c>
      <c r="BU742" s="182" t="str">
        <f t="shared" si="15"/>
        <v/>
      </c>
      <c r="BV742" s="2"/>
      <c r="BW742" s="2"/>
      <c r="BX742" s="2"/>
      <c r="BY742" s="2"/>
      <c r="BZ742" s="2"/>
      <c r="CA742" s="2"/>
      <c r="CB742" s="2"/>
      <c r="CC742" s="2"/>
      <c r="CE742" s="2"/>
      <c r="CF742" s="2"/>
      <c r="CG742" s="1296">
        <f t="shared" si="37"/>
        <v>0</v>
      </c>
      <c r="CH742" s="1298"/>
      <c r="CI742" s="1296">
        <f t="shared" si="38"/>
        <v>0</v>
      </c>
      <c r="CJ742" s="1298"/>
      <c r="CK742" s="1296">
        <f t="shared" si="16"/>
        <v>0</v>
      </c>
      <c r="CL742" s="1298"/>
      <c r="CM742" s="1296">
        <f t="shared" si="17"/>
        <v>0</v>
      </c>
      <c r="CN742" s="1298"/>
      <c r="CO742" s="2"/>
      <c r="CP742" s="1293">
        <f t="shared" si="18"/>
        <v>0</v>
      </c>
      <c r="CQ742" s="1294"/>
      <c r="CR742" s="1294"/>
      <c r="CS742" s="1294"/>
      <c r="CT742" s="1295"/>
      <c r="CU742" s="1309">
        <f t="shared" si="19"/>
        <v>0</v>
      </c>
      <c r="CV742" s="1309"/>
      <c r="CW742" s="1309"/>
      <c r="CX742" s="1309"/>
      <c r="CY742" s="1309"/>
      <c r="CZ742" s="1309">
        <f t="shared" si="20"/>
        <v>0</v>
      </c>
      <c r="DA742" s="1309"/>
      <c r="DB742" s="1309"/>
      <c r="DC742" s="1309"/>
      <c r="DD742" s="1309"/>
      <c r="DE742" s="1309">
        <f t="shared" si="21"/>
        <v>0</v>
      </c>
      <c r="DF742" s="1309"/>
      <c r="DG742" s="1309"/>
      <c r="DH742" s="1309"/>
      <c r="DI742" s="1309"/>
      <c r="DJ742" s="1309">
        <f t="shared" si="22"/>
        <v>0</v>
      </c>
      <c r="DK742" s="1309"/>
      <c r="DL742" s="1309"/>
      <c r="DM742" s="1309"/>
      <c r="DN742" s="1309"/>
      <c r="DO742" s="1309">
        <f t="shared" si="23"/>
        <v>0</v>
      </c>
      <c r="DP742" s="1309"/>
      <c r="DQ742" s="1309"/>
      <c r="DR742" s="1309"/>
      <c r="DS742" s="1309"/>
      <c r="DT742" s="1151"/>
      <c r="DU742" s="1323">
        <f t="shared" si="24"/>
        <v>0</v>
      </c>
      <c r="DV742" s="1323"/>
      <c r="DW742" s="1323"/>
      <c r="DX742" s="1323"/>
      <c r="DY742" s="1323"/>
      <c r="DZ742" s="1323">
        <f t="shared" si="25"/>
        <v>0</v>
      </c>
      <c r="EA742" s="1323"/>
      <c r="EB742" s="1323"/>
      <c r="EC742" s="1323"/>
      <c r="ED742" s="1323"/>
      <c r="EE742" s="1323">
        <f t="shared" si="26"/>
        <v>0</v>
      </c>
      <c r="EF742" s="1323"/>
      <c r="EG742" s="1323"/>
      <c r="EH742" s="1323"/>
      <c r="EI742" s="1323"/>
      <c r="EJ742" s="1323">
        <f t="shared" si="27"/>
        <v>0</v>
      </c>
      <c r="EK742" s="1323"/>
      <c r="EL742" s="1323"/>
      <c r="EM742" s="1323"/>
      <c r="EN742" s="1323"/>
      <c r="EO742" s="1323">
        <f t="shared" si="28"/>
        <v>0</v>
      </c>
      <c r="EP742" s="1323"/>
      <c r="EQ742" s="1323"/>
      <c r="ER742" s="1323"/>
      <c r="ES742" s="1323"/>
      <c r="ET742" s="1323">
        <f t="shared" si="29"/>
        <v>0</v>
      </c>
      <c r="EU742" s="1323"/>
      <c r="EV742" s="1323"/>
      <c r="EW742" s="1323"/>
      <c r="EX742" s="1323"/>
      <c r="EZ742" s="1296" t="str">
        <f t="shared" si="30"/>
        <v/>
      </c>
      <c r="FA742" s="1297"/>
      <c r="FB742" s="1297"/>
      <c r="FC742" s="1297"/>
      <c r="FD742" s="1298"/>
      <c r="FE742" s="1296" t="str">
        <f t="shared" si="31"/>
        <v/>
      </c>
      <c r="FF742" s="1297"/>
      <c r="FG742" s="1297"/>
      <c r="FH742" s="1297"/>
      <c r="FI742" s="1298"/>
      <c r="FJ742" s="1296" t="str">
        <f t="shared" si="32"/>
        <v/>
      </c>
      <c r="FK742" s="1297"/>
      <c r="FL742" s="1297"/>
      <c r="FM742" s="1297"/>
      <c r="FN742" s="1298"/>
      <c r="FO742" s="1296" t="str">
        <f t="shared" si="33"/>
        <v/>
      </c>
      <c r="FP742" s="1297"/>
      <c r="FQ742" s="1297"/>
      <c r="FR742" s="1297"/>
      <c r="FS742" s="1298"/>
      <c r="FT742" s="1296" t="str">
        <f t="shared" si="34"/>
        <v/>
      </c>
      <c r="FU742" s="1297"/>
      <c r="FV742" s="1297"/>
      <c r="FW742" s="1297"/>
      <c r="FX742" s="1298"/>
      <c r="FY742" s="1296" t="str">
        <f t="shared" si="35"/>
        <v/>
      </c>
      <c r="FZ742" s="1297"/>
      <c r="GA742" s="1297"/>
      <c r="GB742" s="1297"/>
      <c r="GC742" s="1298"/>
    </row>
    <row r="743" spans="1:185" s="2" customFormat="1" ht="13" customHeight="1">
      <c r="A743"/>
      <c r="B743" s="1310"/>
      <c r="C743" s="1311"/>
      <c r="D743" s="1311"/>
      <c r="E743" s="1311"/>
      <c r="F743" s="1312"/>
      <c r="G743" s="1319"/>
      <c r="H743" s="1320"/>
      <c r="I743" s="1320"/>
      <c r="J743" s="1321"/>
      <c r="K743" s="1545"/>
      <c r="L743" s="1546"/>
      <c r="M743" s="1546"/>
      <c r="N743" s="1547"/>
      <c r="O743" s="1420"/>
      <c r="P743" s="1421"/>
      <c r="Q743" s="1421"/>
      <c r="R743" s="1421"/>
      <c r="S743" s="1422"/>
      <c r="T743" s="1420"/>
      <c r="U743" s="1421"/>
      <c r="V743" s="1421"/>
      <c r="W743" s="1422"/>
      <c r="X743" s="1313">
        <f t="shared" si="39"/>
        <v>0</v>
      </c>
      <c r="Y743" s="1314"/>
      <c r="Z743" s="1314"/>
      <c r="AA743" s="1314"/>
      <c r="AB743" s="1315"/>
      <c r="AC743" s="1554"/>
      <c r="AD743" s="1555"/>
      <c r="AE743" s="1555"/>
      <c r="AF743" s="1555"/>
      <c r="AG743" s="1556"/>
      <c r="AH743" s="1316" t="str">
        <f t="shared" si="36"/>
        <v/>
      </c>
      <c r="AI743" s="1317"/>
      <c r="AJ743" s="1318"/>
      <c r="AK743" s="1310" t="s">
        <v>798</v>
      </c>
      <c r="AL743" s="1311"/>
      <c r="AM743" s="1311"/>
      <c r="AN743" s="1311"/>
      <c r="AO743" s="1312"/>
      <c r="AT743"/>
      <c r="AU743"/>
      <c r="AV743"/>
      <c r="AW743"/>
      <c r="AX743"/>
      <c r="AY743" s="763"/>
      <c r="AZ743" s="68" t="str">
        <f t="shared" si="9"/>
        <v>N/A</v>
      </c>
      <c r="BD743"/>
      <c r="BE743"/>
      <c r="BF743" s="178">
        <f t="shared" si="10"/>
        <v>0</v>
      </c>
      <c r="BG743" s="181">
        <f t="shared" si="11"/>
        <v>0</v>
      </c>
      <c r="BH743" s="182" t="str">
        <f t="shared" si="12"/>
        <v/>
      </c>
      <c r="BI743"/>
      <c r="BJ743"/>
      <c r="BK743"/>
      <c r="BL743"/>
      <c r="BM743"/>
      <c r="BN743"/>
      <c r="BO743"/>
      <c r="BP743"/>
      <c r="BQ743"/>
      <c r="BR743"/>
      <c r="BS743" s="178">
        <f t="shared" si="13"/>
        <v>0</v>
      </c>
      <c r="BT743" s="181">
        <f t="shared" si="14"/>
        <v>0</v>
      </c>
      <c r="BU743" s="182" t="str">
        <f t="shared" si="15"/>
        <v/>
      </c>
      <c r="CD743"/>
      <c r="CG743" s="1296">
        <f t="shared" si="37"/>
        <v>0</v>
      </c>
      <c r="CH743" s="1298"/>
      <c r="CI743" s="1296">
        <f t="shared" si="38"/>
        <v>0</v>
      </c>
      <c r="CJ743" s="1298"/>
      <c r="CK743" s="1296">
        <f t="shared" si="16"/>
        <v>0</v>
      </c>
      <c r="CL743" s="1298"/>
      <c r="CM743" s="1296">
        <f t="shared" si="17"/>
        <v>0</v>
      </c>
      <c r="CN743" s="1298"/>
      <c r="CP743" s="1293">
        <f t="shared" si="18"/>
        <v>0</v>
      </c>
      <c r="CQ743" s="1294"/>
      <c r="CR743" s="1294"/>
      <c r="CS743" s="1294"/>
      <c r="CT743" s="1295"/>
      <c r="CU743" s="1309">
        <f t="shared" si="19"/>
        <v>0</v>
      </c>
      <c r="CV743" s="1309"/>
      <c r="CW743" s="1309"/>
      <c r="CX743" s="1309"/>
      <c r="CY743" s="1309"/>
      <c r="CZ743" s="1309">
        <f t="shared" si="20"/>
        <v>0</v>
      </c>
      <c r="DA743" s="1309"/>
      <c r="DB743" s="1309"/>
      <c r="DC743" s="1309"/>
      <c r="DD743" s="1309"/>
      <c r="DE743" s="1309">
        <f t="shared" si="21"/>
        <v>0</v>
      </c>
      <c r="DF743" s="1309"/>
      <c r="DG743" s="1309"/>
      <c r="DH743" s="1309"/>
      <c r="DI743" s="1309"/>
      <c r="DJ743" s="1309">
        <f t="shared" si="22"/>
        <v>0</v>
      </c>
      <c r="DK743" s="1309"/>
      <c r="DL743" s="1309"/>
      <c r="DM743" s="1309"/>
      <c r="DN743" s="1309"/>
      <c r="DO743" s="1309">
        <f t="shared" si="23"/>
        <v>0</v>
      </c>
      <c r="DP743" s="1309"/>
      <c r="DQ743" s="1309"/>
      <c r="DR743" s="1309"/>
      <c r="DS743" s="1309"/>
      <c r="DT743" s="1151"/>
      <c r="DU743" s="1323">
        <f t="shared" si="24"/>
        <v>0</v>
      </c>
      <c r="DV743" s="1323"/>
      <c r="DW743" s="1323"/>
      <c r="DX743" s="1323"/>
      <c r="DY743" s="1323"/>
      <c r="DZ743" s="1323">
        <f t="shared" si="25"/>
        <v>0</v>
      </c>
      <c r="EA743" s="1323"/>
      <c r="EB743" s="1323"/>
      <c r="EC743" s="1323"/>
      <c r="ED743" s="1323"/>
      <c r="EE743" s="1323">
        <f t="shared" si="26"/>
        <v>0</v>
      </c>
      <c r="EF743" s="1323"/>
      <c r="EG743" s="1323"/>
      <c r="EH743" s="1323"/>
      <c r="EI743" s="1323"/>
      <c r="EJ743" s="1323">
        <f t="shared" si="27"/>
        <v>0</v>
      </c>
      <c r="EK743" s="1323"/>
      <c r="EL743" s="1323"/>
      <c r="EM743" s="1323"/>
      <c r="EN743" s="1323"/>
      <c r="EO743" s="1323">
        <f t="shared" si="28"/>
        <v>0</v>
      </c>
      <c r="EP743" s="1323"/>
      <c r="EQ743" s="1323"/>
      <c r="ER743" s="1323"/>
      <c r="ES743" s="1323"/>
      <c r="ET743" s="1323">
        <f t="shared" si="29"/>
        <v>0</v>
      </c>
      <c r="EU743" s="1323"/>
      <c r="EV743" s="1323"/>
      <c r="EW743" s="1323"/>
      <c r="EX743" s="1323"/>
      <c r="EY743"/>
      <c r="EZ743" s="1296" t="str">
        <f t="shared" si="30"/>
        <v/>
      </c>
      <c r="FA743" s="1297"/>
      <c r="FB743" s="1297"/>
      <c r="FC743" s="1297"/>
      <c r="FD743" s="1298"/>
      <c r="FE743" s="1296" t="str">
        <f t="shared" si="31"/>
        <v/>
      </c>
      <c r="FF743" s="1297"/>
      <c r="FG743" s="1297"/>
      <c r="FH743" s="1297"/>
      <c r="FI743" s="1298"/>
      <c r="FJ743" s="1296" t="str">
        <f t="shared" si="32"/>
        <v/>
      </c>
      <c r="FK743" s="1297"/>
      <c r="FL743" s="1297"/>
      <c r="FM743" s="1297"/>
      <c r="FN743" s="1298"/>
      <c r="FO743" s="1296" t="str">
        <f t="shared" si="33"/>
        <v/>
      </c>
      <c r="FP743" s="1297"/>
      <c r="FQ743" s="1297"/>
      <c r="FR743" s="1297"/>
      <c r="FS743" s="1298"/>
      <c r="FT743" s="1296" t="str">
        <f t="shared" si="34"/>
        <v/>
      </c>
      <c r="FU743" s="1297"/>
      <c r="FV743" s="1297"/>
      <c r="FW743" s="1297"/>
      <c r="FX743" s="1298"/>
      <c r="FY743" s="1296" t="str">
        <f t="shared" si="35"/>
        <v/>
      </c>
      <c r="FZ743" s="1297"/>
      <c r="GA743" s="1297"/>
      <c r="GB743" s="1297"/>
      <c r="GC743" s="1298"/>
    </row>
    <row r="744" spans="1:185" ht="13" customHeight="1">
      <c r="B744" s="1310"/>
      <c r="C744" s="1311"/>
      <c r="D744" s="1311"/>
      <c r="E744" s="1311"/>
      <c r="F744" s="1312"/>
      <c r="G744" s="1319"/>
      <c r="H744" s="1320"/>
      <c r="I744" s="1320"/>
      <c r="J744" s="1321"/>
      <c r="K744" s="1545"/>
      <c r="L744" s="1546"/>
      <c r="M744" s="1546"/>
      <c r="N744" s="1547"/>
      <c r="O744" s="1420"/>
      <c r="P744" s="1421"/>
      <c r="Q744" s="1421"/>
      <c r="R744" s="1421"/>
      <c r="S744" s="1422"/>
      <c r="T744" s="1420"/>
      <c r="U744" s="1421"/>
      <c r="V744" s="1421"/>
      <c r="W744" s="1422"/>
      <c r="X744" s="1313">
        <f t="shared" si="39"/>
        <v>0</v>
      </c>
      <c r="Y744" s="1314"/>
      <c r="Z744" s="1314"/>
      <c r="AA744" s="1314"/>
      <c r="AB744" s="1315"/>
      <c r="AC744" s="1554"/>
      <c r="AD744" s="1555"/>
      <c r="AE744" s="1555"/>
      <c r="AF744" s="1555"/>
      <c r="AG744" s="1556"/>
      <c r="AH744" s="1316" t="str">
        <f t="shared" si="36"/>
        <v/>
      </c>
      <c r="AI744" s="1317"/>
      <c r="AJ744" s="1318"/>
      <c r="AK744" s="1310" t="s">
        <v>798</v>
      </c>
      <c r="AL744" s="1311"/>
      <c r="AM744" s="1311"/>
      <c r="AN744" s="1311"/>
      <c r="AO744" s="1312"/>
      <c r="AP744" s="2"/>
      <c r="AQ744" s="2"/>
      <c r="AR744" s="2"/>
      <c r="AS744" s="2"/>
      <c r="AY744" s="763"/>
      <c r="AZ744" s="68" t="str">
        <f t="shared" si="9"/>
        <v>N/A</v>
      </c>
      <c r="BA744" s="2"/>
      <c r="BB744" s="2"/>
      <c r="BC744" s="2"/>
      <c r="BD744" s="2"/>
      <c r="BE744" s="2"/>
      <c r="BF744" s="178">
        <f t="shared" si="10"/>
        <v>0</v>
      </c>
      <c r="BG744" s="181">
        <f t="shared" si="11"/>
        <v>0</v>
      </c>
      <c r="BH744" s="182" t="str">
        <f t="shared" si="12"/>
        <v/>
      </c>
      <c r="BI744" s="2"/>
      <c r="BJ744" s="2"/>
      <c r="BK744" s="2"/>
      <c r="BL744" s="2"/>
      <c r="BM744" s="2"/>
      <c r="BN744" s="2"/>
      <c r="BS744" s="178">
        <f t="shared" si="13"/>
        <v>0</v>
      </c>
      <c r="BT744" s="181">
        <f t="shared" si="14"/>
        <v>0</v>
      </c>
      <c r="BU744" s="182" t="str">
        <f t="shared" si="15"/>
        <v/>
      </c>
      <c r="BV744" s="2"/>
      <c r="BW744" s="2"/>
      <c r="BX744" s="2"/>
      <c r="BY744" s="2"/>
      <c r="BZ744" s="2"/>
      <c r="CA744" s="2"/>
      <c r="CB744" s="2"/>
      <c r="CC744" s="2"/>
      <c r="CE744" s="2"/>
      <c r="CF744" s="2"/>
      <c r="CG744" s="1296">
        <f t="shared" si="37"/>
        <v>0</v>
      </c>
      <c r="CH744" s="1298"/>
      <c r="CI744" s="1296">
        <f t="shared" si="38"/>
        <v>0</v>
      </c>
      <c r="CJ744" s="1298"/>
      <c r="CK744" s="1296">
        <f t="shared" si="16"/>
        <v>0</v>
      </c>
      <c r="CL744" s="1298"/>
      <c r="CM744" s="1296">
        <f t="shared" si="17"/>
        <v>0</v>
      </c>
      <c r="CN744" s="1298"/>
      <c r="CO744" s="2"/>
      <c r="CP744" s="1293">
        <f t="shared" si="18"/>
        <v>0</v>
      </c>
      <c r="CQ744" s="1294"/>
      <c r="CR744" s="1294"/>
      <c r="CS744" s="1294"/>
      <c r="CT744" s="1295"/>
      <c r="CU744" s="1309">
        <f t="shared" si="19"/>
        <v>0</v>
      </c>
      <c r="CV744" s="1309"/>
      <c r="CW744" s="1309"/>
      <c r="CX744" s="1309"/>
      <c r="CY744" s="1309"/>
      <c r="CZ744" s="1309">
        <f t="shared" si="20"/>
        <v>0</v>
      </c>
      <c r="DA744" s="1309"/>
      <c r="DB744" s="1309"/>
      <c r="DC744" s="1309"/>
      <c r="DD744" s="1309"/>
      <c r="DE744" s="1309">
        <f t="shared" si="21"/>
        <v>0</v>
      </c>
      <c r="DF744" s="1309"/>
      <c r="DG744" s="1309"/>
      <c r="DH744" s="1309"/>
      <c r="DI744" s="1309"/>
      <c r="DJ744" s="1309">
        <f t="shared" si="22"/>
        <v>0</v>
      </c>
      <c r="DK744" s="1309"/>
      <c r="DL744" s="1309"/>
      <c r="DM744" s="1309"/>
      <c r="DN744" s="1309"/>
      <c r="DO744" s="1309">
        <f t="shared" si="23"/>
        <v>0</v>
      </c>
      <c r="DP744" s="1309"/>
      <c r="DQ744" s="1309"/>
      <c r="DR744" s="1309"/>
      <c r="DS744" s="1309"/>
      <c r="DT744" s="1151"/>
      <c r="DU744" s="1323">
        <f t="shared" si="24"/>
        <v>0</v>
      </c>
      <c r="DV744" s="1323"/>
      <c r="DW744" s="1323"/>
      <c r="DX744" s="1323"/>
      <c r="DY744" s="1323"/>
      <c r="DZ744" s="1323">
        <f t="shared" si="25"/>
        <v>0</v>
      </c>
      <c r="EA744" s="1323"/>
      <c r="EB744" s="1323"/>
      <c r="EC744" s="1323"/>
      <c r="ED744" s="1323"/>
      <c r="EE744" s="1323">
        <f t="shared" si="26"/>
        <v>0</v>
      </c>
      <c r="EF744" s="1323"/>
      <c r="EG744" s="1323"/>
      <c r="EH744" s="1323"/>
      <c r="EI744" s="1323"/>
      <c r="EJ744" s="1323">
        <f t="shared" si="27"/>
        <v>0</v>
      </c>
      <c r="EK744" s="1323"/>
      <c r="EL744" s="1323"/>
      <c r="EM744" s="1323"/>
      <c r="EN744" s="1323"/>
      <c r="EO744" s="1323">
        <f t="shared" si="28"/>
        <v>0</v>
      </c>
      <c r="EP744" s="1323"/>
      <c r="EQ744" s="1323"/>
      <c r="ER744" s="1323"/>
      <c r="ES744" s="1323"/>
      <c r="ET744" s="1323">
        <f t="shared" si="29"/>
        <v>0</v>
      </c>
      <c r="EU744" s="1323"/>
      <c r="EV744" s="1323"/>
      <c r="EW744" s="1323"/>
      <c r="EX744" s="1323"/>
      <c r="EZ744" s="1296" t="str">
        <f t="shared" si="30"/>
        <v/>
      </c>
      <c r="FA744" s="1297"/>
      <c r="FB744" s="1297"/>
      <c r="FC744" s="1297"/>
      <c r="FD744" s="1298"/>
      <c r="FE744" s="1296" t="str">
        <f t="shared" si="31"/>
        <v/>
      </c>
      <c r="FF744" s="1297"/>
      <c r="FG744" s="1297"/>
      <c r="FH744" s="1297"/>
      <c r="FI744" s="1298"/>
      <c r="FJ744" s="1296" t="str">
        <f t="shared" si="32"/>
        <v/>
      </c>
      <c r="FK744" s="1297"/>
      <c r="FL744" s="1297"/>
      <c r="FM744" s="1297"/>
      <c r="FN744" s="1298"/>
      <c r="FO744" s="1296" t="str">
        <f t="shared" si="33"/>
        <v/>
      </c>
      <c r="FP744" s="1297"/>
      <c r="FQ744" s="1297"/>
      <c r="FR744" s="1297"/>
      <c r="FS744" s="1298"/>
      <c r="FT744" s="1296" t="str">
        <f t="shared" si="34"/>
        <v/>
      </c>
      <c r="FU744" s="1297"/>
      <c r="FV744" s="1297"/>
      <c r="FW744" s="1297"/>
      <c r="FX744" s="1298"/>
      <c r="FY744" s="1296" t="str">
        <f t="shared" si="35"/>
        <v/>
      </c>
      <c r="FZ744" s="1297"/>
      <c r="GA744" s="1297"/>
      <c r="GB744" s="1297"/>
      <c r="GC744" s="1298"/>
    </row>
    <row r="745" spans="1:185" ht="13" customHeight="1">
      <c r="B745" s="1310"/>
      <c r="C745" s="1311"/>
      <c r="D745" s="1311"/>
      <c r="E745" s="1311"/>
      <c r="F745" s="1312"/>
      <c r="G745" s="1319"/>
      <c r="H745" s="1320"/>
      <c r="I745" s="1320"/>
      <c r="J745" s="1321"/>
      <c r="K745" s="1545"/>
      <c r="L745" s="1546"/>
      <c r="M745" s="1546"/>
      <c r="N745" s="1547"/>
      <c r="O745" s="1420"/>
      <c r="P745" s="1421"/>
      <c r="Q745" s="1421"/>
      <c r="R745" s="1421"/>
      <c r="S745" s="1422"/>
      <c r="T745" s="1420"/>
      <c r="U745" s="1421"/>
      <c r="V745" s="1421"/>
      <c r="W745" s="1422"/>
      <c r="X745" s="1313">
        <f t="shared" si="39"/>
        <v>0</v>
      </c>
      <c r="Y745" s="1314"/>
      <c r="Z745" s="1314"/>
      <c r="AA745" s="1314"/>
      <c r="AB745" s="1315"/>
      <c r="AC745" s="1554"/>
      <c r="AD745" s="1555"/>
      <c r="AE745" s="1555"/>
      <c r="AF745" s="1555"/>
      <c r="AG745" s="1556"/>
      <c r="AH745" s="1316" t="str">
        <f t="shared" si="36"/>
        <v/>
      </c>
      <c r="AI745" s="1317"/>
      <c r="AJ745" s="1318"/>
      <c r="AK745" s="1310" t="s">
        <v>798</v>
      </c>
      <c r="AL745" s="1311"/>
      <c r="AM745" s="1311"/>
      <c r="AN745" s="1311"/>
      <c r="AO745" s="1312"/>
      <c r="AP745" s="2"/>
      <c r="AQ745" s="2"/>
      <c r="AR745" s="2"/>
      <c r="AS745" s="2"/>
      <c r="AY745" s="763"/>
      <c r="AZ745" s="68" t="str">
        <f t="shared" si="9"/>
        <v>N/A</v>
      </c>
      <c r="BA745" s="2"/>
      <c r="BB745" s="2"/>
      <c r="BC745" s="2"/>
      <c r="BD745" s="2"/>
      <c r="BE745" s="2"/>
      <c r="BF745" s="178">
        <f t="shared" si="10"/>
        <v>0</v>
      </c>
      <c r="BG745" s="181">
        <f t="shared" si="11"/>
        <v>0</v>
      </c>
      <c r="BH745" s="182" t="str">
        <f t="shared" si="12"/>
        <v/>
      </c>
      <c r="BI745" s="2"/>
      <c r="BJ745" s="2"/>
      <c r="BK745" s="2"/>
      <c r="BL745" s="2"/>
      <c r="BM745" s="2"/>
      <c r="BN745" s="2"/>
      <c r="BS745" s="178">
        <f t="shared" si="13"/>
        <v>0</v>
      </c>
      <c r="BT745" s="181">
        <f t="shared" si="14"/>
        <v>0</v>
      </c>
      <c r="BU745" s="182" t="str">
        <f t="shared" si="15"/>
        <v/>
      </c>
      <c r="BV745" s="2"/>
      <c r="BW745" s="2"/>
      <c r="BX745" s="2"/>
      <c r="BY745" s="2"/>
      <c r="BZ745" s="2"/>
      <c r="CA745" s="2"/>
      <c r="CB745" s="2"/>
      <c r="CC745" s="2"/>
      <c r="CE745" s="2"/>
      <c r="CF745" s="2"/>
      <c r="CG745" s="1296">
        <f t="shared" si="37"/>
        <v>0</v>
      </c>
      <c r="CH745" s="1298"/>
      <c r="CI745" s="1296">
        <f t="shared" si="38"/>
        <v>0</v>
      </c>
      <c r="CJ745" s="1298"/>
      <c r="CK745" s="1296">
        <f t="shared" si="16"/>
        <v>0</v>
      </c>
      <c r="CL745" s="1298"/>
      <c r="CM745" s="1296">
        <f t="shared" si="17"/>
        <v>0</v>
      </c>
      <c r="CN745" s="1298"/>
      <c r="CO745" s="2"/>
      <c r="CP745" s="1293">
        <f t="shared" si="18"/>
        <v>0</v>
      </c>
      <c r="CQ745" s="1294"/>
      <c r="CR745" s="1294"/>
      <c r="CS745" s="1294"/>
      <c r="CT745" s="1295"/>
      <c r="CU745" s="1309">
        <f t="shared" si="19"/>
        <v>0</v>
      </c>
      <c r="CV745" s="1309"/>
      <c r="CW745" s="1309"/>
      <c r="CX745" s="1309"/>
      <c r="CY745" s="1309"/>
      <c r="CZ745" s="1309">
        <f t="shared" si="20"/>
        <v>0</v>
      </c>
      <c r="DA745" s="1309"/>
      <c r="DB745" s="1309"/>
      <c r="DC745" s="1309"/>
      <c r="DD745" s="1309"/>
      <c r="DE745" s="1309">
        <f t="shared" si="21"/>
        <v>0</v>
      </c>
      <c r="DF745" s="1309"/>
      <c r="DG745" s="1309"/>
      <c r="DH745" s="1309"/>
      <c r="DI745" s="1309"/>
      <c r="DJ745" s="1309">
        <f t="shared" si="22"/>
        <v>0</v>
      </c>
      <c r="DK745" s="1309"/>
      <c r="DL745" s="1309"/>
      <c r="DM745" s="1309"/>
      <c r="DN745" s="1309"/>
      <c r="DO745" s="1309">
        <f t="shared" si="23"/>
        <v>0</v>
      </c>
      <c r="DP745" s="1309"/>
      <c r="DQ745" s="1309"/>
      <c r="DR745" s="1309"/>
      <c r="DS745" s="1309"/>
      <c r="DT745" s="1151"/>
      <c r="DU745" s="1323">
        <f t="shared" si="24"/>
        <v>0</v>
      </c>
      <c r="DV745" s="1323"/>
      <c r="DW745" s="1323"/>
      <c r="DX745" s="1323"/>
      <c r="DY745" s="1323"/>
      <c r="DZ745" s="1323">
        <f t="shared" si="25"/>
        <v>0</v>
      </c>
      <c r="EA745" s="1323"/>
      <c r="EB745" s="1323"/>
      <c r="EC745" s="1323"/>
      <c r="ED745" s="1323"/>
      <c r="EE745" s="1323">
        <f t="shared" si="26"/>
        <v>0</v>
      </c>
      <c r="EF745" s="1323"/>
      <c r="EG745" s="1323"/>
      <c r="EH745" s="1323"/>
      <c r="EI745" s="1323"/>
      <c r="EJ745" s="1323">
        <f t="shared" si="27"/>
        <v>0</v>
      </c>
      <c r="EK745" s="1323"/>
      <c r="EL745" s="1323"/>
      <c r="EM745" s="1323"/>
      <c r="EN745" s="1323"/>
      <c r="EO745" s="1323">
        <f t="shared" si="28"/>
        <v>0</v>
      </c>
      <c r="EP745" s="1323"/>
      <c r="EQ745" s="1323"/>
      <c r="ER745" s="1323"/>
      <c r="ES745" s="1323"/>
      <c r="ET745" s="1323">
        <f t="shared" si="29"/>
        <v>0</v>
      </c>
      <c r="EU745" s="1323"/>
      <c r="EV745" s="1323"/>
      <c r="EW745" s="1323"/>
      <c r="EX745" s="1323"/>
      <c r="EZ745" s="1296" t="str">
        <f t="shared" si="30"/>
        <v/>
      </c>
      <c r="FA745" s="1297"/>
      <c r="FB745" s="1297"/>
      <c r="FC745" s="1297"/>
      <c r="FD745" s="1298"/>
      <c r="FE745" s="1296" t="str">
        <f t="shared" si="31"/>
        <v/>
      </c>
      <c r="FF745" s="1297"/>
      <c r="FG745" s="1297"/>
      <c r="FH745" s="1297"/>
      <c r="FI745" s="1298"/>
      <c r="FJ745" s="1296" t="str">
        <f t="shared" si="32"/>
        <v/>
      </c>
      <c r="FK745" s="1297"/>
      <c r="FL745" s="1297"/>
      <c r="FM745" s="1297"/>
      <c r="FN745" s="1298"/>
      <c r="FO745" s="1296" t="str">
        <f t="shared" si="33"/>
        <v/>
      </c>
      <c r="FP745" s="1297"/>
      <c r="FQ745" s="1297"/>
      <c r="FR745" s="1297"/>
      <c r="FS745" s="1298"/>
      <c r="FT745" s="1296" t="str">
        <f t="shared" si="34"/>
        <v/>
      </c>
      <c r="FU745" s="1297"/>
      <c r="FV745" s="1297"/>
      <c r="FW745" s="1297"/>
      <c r="FX745" s="1298"/>
      <c r="FY745" s="1296" t="str">
        <f t="shared" si="35"/>
        <v/>
      </c>
      <c r="FZ745" s="1297"/>
      <c r="GA745" s="1297"/>
      <c r="GB745" s="1297"/>
      <c r="GC745" s="1298"/>
    </row>
    <row r="746" spans="1:185" ht="13" customHeight="1">
      <c r="B746" s="1310"/>
      <c r="C746" s="1311"/>
      <c r="D746" s="1311"/>
      <c r="E746" s="1311"/>
      <c r="F746" s="1312"/>
      <c r="G746" s="1319"/>
      <c r="H746" s="1320"/>
      <c r="I746" s="1320"/>
      <c r="J746" s="1321"/>
      <c r="K746" s="1545"/>
      <c r="L746" s="1546"/>
      <c r="M746" s="1546"/>
      <c r="N746" s="1547"/>
      <c r="O746" s="1420"/>
      <c r="P746" s="1421"/>
      <c r="Q746" s="1421"/>
      <c r="R746" s="1421"/>
      <c r="S746" s="1422"/>
      <c r="T746" s="1420"/>
      <c r="U746" s="1421"/>
      <c r="V746" s="1421"/>
      <c r="W746" s="1422"/>
      <c r="X746" s="1313">
        <f t="shared" si="39"/>
        <v>0</v>
      </c>
      <c r="Y746" s="1314"/>
      <c r="Z746" s="1314"/>
      <c r="AA746" s="1314"/>
      <c r="AB746" s="1315"/>
      <c r="AC746" s="1554"/>
      <c r="AD746" s="1555"/>
      <c r="AE746" s="1555"/>
      <c r="AF746" s="1555"/>
      <c r="AG746" s="1556"/>
      <c r="AH746" s="1316" t="str">
        <f t="shared" si="36"/>
        <v/>
      </c>
      <c r="AI746" s="1317"/>
      <c r="AJ746" s="1318"/>
      <c r="AK746" s="1310" t="s">
        <v>798</v>
      </c>
      <c r="AL746" s="1311"/>
      <c r="AM746" s="1311"/>
      <c r="AN746" s="1311"/>
      <c r="AO746" s="1312"/>
      <c r="AP746" s="2"/>
      <c r="AQ746" s="2"/>
      <c r="AR746" s="2"/>
      <c r="AS746" s="2"/>
      <c r="AY746" s="763"/>
      <c r="AZ746" s="68" t="str">
        <f t="shared" si="9"/>
        <v>N/A</v>
      </c>
      <c r="BA746" s="2"/>
      <c r="BB746" s="2"/>
      <c r="BC746" s="2"/>
      <c r="BD746" s="2"/>
      <c r="BE746" s="2"/>
      <c r="BF746" s="178">
        <f t="shared" si="10"/>
        <v>0</v>
      </c>
      <c r="BG746" s="181">
        <f t="shared" si="11"/>
        <v>0</v>
      </c>
      <c r="BH746" s="182" t="str">
        <f t="shared" si="12"/>
        <v/>
      </c>
      <c r="BI746" s="2"/>
      <c r="BJ746" s="2"/>
      <c r="BK746" s="2"/>
      <c r="BL746" s="2"/>
      <c r="BM746" s="2"/>
      <c r="BN746" s="2"/>
      <c r="BS746" s="178">
        <f t="shared" si="13"/>
        <v>0</v>
      </c>
      <c r="BT746" s="181">
        <f t="shared" si="14"/>
        <v>0</v>
      </c>
      <c r="BU746" s="182" t="str">
        <f t="shared" si="15"/>
        <v/>
      </c>
      <c r="BV746" s="2"/>
      <c r="BW746" s="2"/>
      <c r="BX746" s="2"/>
      <c r="BY746" s="2"/>
      <c r="BZ746" s="2"/>
      <c r="CA746" s="2"/>
      <c r="CB746" s="2"/>
      <c r="CC746" s="2"/>
      <c r="CE746" s="2"/>
      <c r="CF746" s="2"/>
      <c r="CG746" s="1296">
        <f t="shared" si="37"/>
        <v>0</v>
      </c>
      <c r="CH746" s="1298"/>
      <c r="CI746" s="1296">
        <f t="shared" si="38"/>
        <v>0</v>
      </c>
      <c r="CJ746" s="1298"/>
      <c r="CK746" s="1296">
        <f t="shared" si="16"/>
        <v>0</v>
      </c>
      <c r="CL746" s="1298"/>
      <c r="CM746" s="1296">
        <f t="shared" si="17"/>
        <v>0</v>
      </c>
      <c r="CN746" s="1298"/>
      <c r="CO746" s="2"/>
      <c r="CP746" s="1293">
        <f t="shared" si="18"/>
        <v>0</v>
      </c>
      <c r="CQ746" s="1294"/>
      <c r="CR746" s="1294"/>
      <c r="CS746" s="1294"/>
      <c r="CT746" s="1295"/>
      <c r="CU746" s="1309">
        <f t="shared" si="19"/>
        <v>0</v>
      </c>
      <c r="CV746" s="1309"/>
      <c r="CW746" s="1309"/>
      <c r="CX746" s="1309"/>
      <c r="CY746" s="1309"/>
      <c r="CZ746" s="1309">
        <f t="shared" si="20"/>
        <v>0</v>
      </c>
      <c r="DA746" s="1309"/>
      <c r="DB746" s="1309"/>
      <c r="DC746" s="1309"/>
      <c r="DD746" s="1309"/>
      <c r="DE746" s="1309">
        <f t="shared" si="21"/>
        <v>0</v>
      </c>
      <c r="DF746" s="1309"/>
      <c r="DG746" s="1309"/>
      <c r="DH746" s="1309"/>
      <c r="DI746" s="1309"/>
      <c r="DJ746" s="1309">
        <f t="shared" si="22"/>
        <v>0</v>
      </c>
      <c r="DK746" s="1309"/>
      <c r="DL746" s="1309"/>
      <c r="DM746" s="1309"/>
      <c r="DN746" s="1309"/>
      <c r="DO746" s="1309">
        <f t="shared" si="23"/>
        <v>0</v>
      </c>
      <c r="DP746" s="1309"/>
      <c r="DQ746" s="1309"/>
      <c r="DR746" s="1309"/>
      <c r="DS746" s="1309"/>
      <c r="DT746" s="1151"/>
      <c r="DU746" s="1323">
        <f t="shared" si="24"/>
        <v>0</v>
      </c>
      <c r="DV746" s="1323"/>
      <c r="DW746" s="1323"/>
      <c r="DX746" s="1323"/>
      <c r="DY746" s="1323"/>
      <c r="DZ746" s="1323">
        <f t="shared" si="25"/>
        <v>0</v>
      </c>
      <c r="EA746" s="1323"/>
      <c r="EB746" s="1323"/>
      <c r="EC746" s="1323"/>
      <c r="ED746" s="1323"/>
      <c r="EE746" s="1323">
        <f t="shared" si="26"/>
        <v>0</v>
      </c>
      <c r="EF746" s="1323"/>
      <c r="EG746" s="1323"/>
      <c r="EH746" s="1323"/>
      <c r="EI746" s="1323"/>
      <c r="EJ746" s="1323">
        <f t="shared" si="27"/>
        <v>0</v>
      </c>
      <c r="EK746" s="1323"/>
      <c r="EL746" s="1323"/>
      <c r="EM746" s="1323"/>
      <c r="EN746" s="1323"/>
      <c r="EO746" s="1323">
        <f t="shared" si="28"/>
        <v>0</v>
      </c>
      <c r="EP746" s="1323"/>
      <c r="EQ746" s="1323"/>
      <c r="ER746" s="1323"/>
      <c r="ES746" s="1323"/>
      <c r="ET746" s="1323">
        <f t="shared" si="29"/>
        <v>0</v>
      </c>
      <c r="EU746" s="1323"/>
      <c r="EV746" s="1323"/>
      <c r="EW746" s="1323"/>
      <c r="EX746" s="1323"/>
      <c r="EZ746" s="1296" t="str">
        <f t="shared" si="30"/>
        <v/>
      </c>
      <c r="FA746" s="1297"/>
      <c r="FB746" s="1297"/>
      <c r="FC746" s="1297"/>
      <c r="FD746" s="1298"/>
      <c r="FE746" s="1296" t="str">
        <f t="shared" si="31"/>
        <v/>
      </c>
      <c r="FF746" s="1297"/>
      <c r="FG746" s="1297"/>
      <c r="FH746" s="1297"/>
      <c r="FI746" s="1298"/>
      <c r="FJ746" s="1296" t="str">
        <f t="shared" si="32"/>
        <v/>
      </c>
      <c r="FK746" s="1297"/>
      <c r="FL746" s="1297"/>
      <c r="FM746" s="1297"/>
      <c r="FN746" s="1298"/>
      <c r="FO746" s="1296" t="str">
        <f t="shared" si="33"/>
        <v/>
      </c>
      <c r="FP746" s="1297"/>
      <c r="FQ746" s="1297"/>
      <c r="FR746" s="1297"/>
      <c r="FS746" s="1298"/>
      <c r="FT746" s="1296" t="str">
        <f t="shared" si="34"/>
        <v/>
      </c>
      <c r="FU746" s="1297"/>
      <c r="FV746" s="1297"/>
      <c r="FW746" s="1297"/>
      <c r="FX746" s="1298"/>
      <c r="FY746" s="1296" t="str">
        <f t="shared" si="35"/>
        <v/>
      </c>
      <c r="FZ746" s="1297"/>
      <c r="GA746" s="1297"/>
      <c r="GB746" s="1297"/>
      <c r="GC746" s="1298"/>
    </row>
    <row r="747" spans="1:185" ht="13" customHeight="1">
      <c r="B747" s="1310"/>
      <c r="C747" s="1311"/>
      <c r="D747" s="1311"/>
      <c r="E747" s="1311"/>
      <c r="F747" s="1312"/>
      <c r="G747" s="1319"/>
      <c r="H747" s="1320"/>
      <c r="I747" s="1320"/>
      <c r="J747" s="1321"/>
      <c r="K747" s="1545"/>
      <c r="L747" s="1546"/>
      <c r="M747" s="1546"/>
      <c r="N747" s="1547"/>
      <c r="O747" s="1420"/>
      <c r="P747" s="1421"/>
      <c r="Q747" s="1421"/>
      <c r="R747" s="1421"/>
      <c r="S747" s="1422"/>
      <c r="T747" s="1420"/>
      <c r="U747" s="1421"/>
      <c r="V747" s="1421"/>
      <c r="W747" s="1422"/>
      <c r="X747" s="1313">
        <f t="shared" si="39"/>
        <v>0</v>
      </c>
      <c r="Y747" s="1314"/>
      <c r="Z747" s="1314"/>
      <c r="AA747" s="1314"/>
      <c r="AB747" s="1315"/>
      <c r="AC747" s="1554"/>
      <c r="AD747" s="1555"/>
      <c r="AE747" s="1555"/>
      <c r="AF747" s="1555"/>
      <c r="AG747" s="1556"/>
      <c r="AH747" s="1316" t="str">
        <f t="shared" si="36"/>
        <v/>
      </c>
      <c r="AI747" s="1317"/>
      <c r="AJ747" s="1318"/>
      <c r="AK747" s="1310" t="s">
        <v>798</v>
      </c>
      <c r="AL747" s="1311"/>
      <c r="AM747" s="1311"/>
      <c r="AN747" s="1311"/>
      <c r="AO747" s="1312"/>
      <c r="AP747" s="2"/>
      <c r="AQ747" s="2"/>
      <c r="AR747" s="2"/>
      <c r="AS747" s="2"/>
      <c r="AY747" s="763"/>
      <c r="AZ747" s="68" t="str">
        <f t="shared" si="9"/>
        <v>N/A</v>
      </c>
      <c r="BA747" s="2"/>
      <c r="BB747" s="2"/>
      <c r="BC747" s="2"/>
      <c r="BD747" s="2"/>
      <c r="BE747" s="2"/>
      <c r="BF747" s="178">
        <f t="shared" si="10"/>
        <v>0</v>
      </c>
      <c r="BG747" s="181">
        <f t="shared" si="11"/>
        <v>0</v>
      </c>
      <c r="BH747" s="182" t="str">
        <f t="shared" si="12"/>
        <v/>
      </c>
      <c r="BI747" s="2"/>
      <c r="BJ747" s="2"/>
      <c r="BK747" s="2"/>
      <c r="BL747" s="2"/>
      <c r="BM747" s="2"/>
      <c r="BN747" s="2"/>
      <c r="BS747" s="178">
        <f t="shared" si="13"/>
        <v>0</v>
      </c>
      <c r="BT747" s="181">
        <f t="shared" si="14"/>
        <v>0</v>
      </c>
      <c r="BU747" s="182" t="str">
        <f t="shared" si="15"/>
        <v/>
      </c>
      <c r="BV747" s="2"/>
      <c r="BW747" s="2"/>
      <c r="BX747" s="2"/>
      <c r="BY747" s="2"/>
      <c r="BZ747" s="2"/>
      <c r="CA747" s="2"/>
      <c r="CB747" s="2"/>
      <c r="CC747" s="2"/>
      <c r="CE747" s="2"/>
      <c r="CF747" s="2"/>
      <c r="CG747" s="1296">
        <f t="shared" si="37"/>
        <v>0</v>
      </c>
      <c r="CH747" s="1298"/>
      <c r="CI747" s="1296">
        <f t="shared" si="38"/>
        <v>0</v>
      </c>
      <c r="CJ747" s="1298"/>
      <c r="CK747" s="1296">
        <f t="shared" si="16"/>
        <v>0</v>
      </c>
      <c r="CL747" s="1298"/>
      <c r="CM747" s="1296">
        <f t="shared" si="17"/>
        <v>0</v>
      </c>
      <c r="CN747" s="1298"/>
      <c r="CO747" s="2"/>
      <c r="CP747" s="1293">
        <f t="shared" si="18"/>
        <v>0</v>
      </c>
      <c r="CQ747" s="1294"/>
      <c r="CR747" s="1294"/>
      <c r="CS747" s="1294"/>
      <c r="CT747" s="1295"/>
      <c r="CU747" s="1309">
        <f t="shared" si="19"/>
        <v>0</v>
      </c>
      <c r="CV747" s="1309"/>
      <c r="CW747" s="1309"/>
      <c r="CX747" s="1309"/>
      <c r="CY747" s="1309"/>
      <c r="CZ747" s="1309">
        <f t="shared" si="20"/>
        <v>0</v>
      </c>
      <c r="DA747" s="1309"/>
      <c r="DB747" s="1309"/>
      <c r="DC747" s="1309"/>
      <c r="DD747" s="1309"/>
      <c r="DE747" s="1309">
        <f t="shared" si="21"/>
        <v>0</v>
      </c>
      <c r="DF747" s="1309"/>
      <c r="DG747" s="1309"/>
      <c r="DH747" s="1309"/>
      <c r="DI747" s="1309"/>
      <c r="DJ747" s="1309">
        <f t="shared" si="22"/>
        <v>0</v>
      </c>
      <c r="DK747" s="1309"/>
      <c r="DL747" s="1309"/>
      <c r="DM747" s="1309"/>
      <c r="DN747" s="1309"/>
      <c r="DO747" s="1309">
        <f t="shared" si="23"/>
        <v>0</v>
      </c>
      <c r="DP747" s="1309"/>
      <c r="DQ747" s="1309"/>
      <c r="DR747" s="1309"/>
      <c r="DS747" s="1309"/>
      <c r="DT747" s="1151"/>
      <c r="DU747" s="1323">
        <f t="shared" si="24"/>
        <v>0</v>
      </c>
      <c r="DV747" s="1323"/>
      <c r="DW747" s="1323"/>
      <c r="DX747" s="1323"/>
      <c r="DY747" s="1323"/>
      <c r="DZ747" s="1323">
        <f t="shared" si="25"/>
        <v>0</v>
      </c>
      <c r="EA747" s="1323"/>
      <c r="EB747" s="1323"/>
      <c r="EC747" s="1323"/>
      <c r="ED747" s="1323"/>
      <c r="EE747" s="1323">
        <f t="shared" si="26"/>
        <v>0</v>
      </c>
      <c r="EF747" s="1323"/>
      <c r="EG747" s="1323"/>
      <c r="EH747" s="1323"/>
      <c r="EI747" s="1323"/>
      <c r="EJ747" s="1323">
        <f t="shared" si="27"/>
        <v>0</v>
      </c>
      <c r="EK747" s="1323"/>
      <c r="EL747" s="1323"/>
      <c r="EM747" s="1323"/>
      <c r="EN747" s="1323"/>
      <c r="EO747" s="1323">
        <f t="shared" si="28"/>
        <v>0</v>
      </c>
      <c r="EP747" s="1323"/>
      <c r="EQ747" s="1323"/>
      <c r="ER747" s="1323"/>
      <c r="ES747" s="1323"/>
      <c r="ET747" s="1323">
        <f t="shared" si="29"/>
        <v>0</v>
      </c>
      <c r="EU747" s="1323"/>
      <c r="EV747" s="1323"/>
      <c r="EW747" s="1323"/>
      <c r="EX747" s="1323"/>
      <c r="EZ747" s="1296" t="str">
        <f t="shared" si="30"/>
        <v/>
      </c>
      <c r="FA747" s="1297"/>
      <c r="FB747" s="1297"/>
      <c r="FC747" s="1297"/>
      <c r="FD747" s="1298"/>
      <c r="FE747" s="1296" t="str">
        <f t="shared" si="31"/>
        <v/>
      </c>
      <c r="FF747" s="1297"/>
      <c r="FG747" s="1297"/>
      <c r="FH747" s="1297"/>
      <c r="FI747" s="1298"/>
      <c r="FJ747" s="1296" t="str">
        <f t="shared" si="32"/>
        <v/>
      </c>
      <c r="FK747" s="1297"/>
      <c r="FL747" s="1297"/>
      <c r="FM747" s="1297"/>
      <c r="FN747" s="1298"/>
      <c r="FO747" s="1296" t="str">
        <f t="shared" si="33"/>
        <v/>
      </c>
      <c r="FP747" s="1297"/>
      <c r="FQ747" s="1297"/>
      <c r="FR747" s="1297"/>
      <c r="FS747" s="1298"/>
      <c r="FT747" s="1296" t="str">
        <f t="shared" si="34"/>
        <v/>
      </c>
      <c r="FU747" s="1297"/>
      <c r="FV747" s="1297"/>
      <c r="FW747" s="1297"/>
      <c r="FX747" s="1298"/>
      <c r="FY747" s="1296" t="str">
        <f t="shared" si="35"/>
        <v/>
      </c>
      <c r="FZ747" s="1297"/>
      <c r="GA747" s="1297"/>
      <c r="GB747" s="1297"/>
      <c r="GC747" s="1298"/>
    </row>
    <row r="748" spans="1:185" s="2" customFormat="1" ht="13" customHeight="1">
      <c r="A748"/>
      <c r="B748" s="1310"/>
      <c r="C748" s="1311"/>
      <c r="D748" s="1311"/>
      <c r="E748" s="1311"/>
      <c r="F748" s="1312"/>
      <c r="G748" s="1319"/>
      <c r="H748" s="1320"/>
      <c r="I748" s="1320"/>
      <c r="J748" s="1321"/>
      <c r="K748" s="1545"/>
      <c r="L748" s="1546"/>
      <c r="M748" s="1546"/>
      <c r="N748" s="1547"/>
      <c r="O748" s="1420"/>
      <c r="P748" s="1421"/>
      <c r="Q748" s="1421"/>
      <c r="R748" s="1421"/>
      <c r="S748" s="1422"/>
      <c r="T748" s="1420"/>
      <c r="U748" s="1421"/>
      <c r="V748" s="1421"/>
      <c r="W748" s="1422"/>
      <c r="X748" s="1313">
        <f t="shared" si="39"/>
        <v>0</v>
      </c>
      <c r="Y748" s="1314"/>
      <c r="Z748" s="1314"/>
      <c r="AA748" s="1314"/>
      <c r="AB748" s="1315"/>
      <c r="AC748" s="1554"/>
      <c r="AD748" s="1555"/>
      <c r="AE748" s="1555"/>
      <c r="AF748" s="1555"/>
      <c r="AG748" s="1556"/>
      <c r="AH748" s="1316" t="str">
        <f t="shared" si="36"/>
        <v/>
      </c>
      <c r="AI748" s="1317"/>
      <c r="AJ748" s="1318"/>
      <c r="AK748" s="1310" t="s">
        <v>798</v>
      </c>
      <c r="AL748" s="1311"/>
      <c r="AM748" s="1311"/>
      <c r="AN748" s="1311"/>
      <c r="AO748" s="1312"/>
      <c r="AT748"/>
      <c r="AU748"/>
      <c r="AV748"/>
      <c r="AW748"/>
      <c r="AX748"/>
      <c r="AY748" s="763"/>
      <c r="AZ748" s="68" t="str">
        <f t="shared" si="9"/>
        <v>N/A</v>
      </c>
      <c r="BF748" s="178">
        <f t="shared" si="10"/>
        <v>0</v>
      </c>
      <c r="BG748" s="181">
        <f t="shared" si="11"/>
        <v>0</v>
      </c>
      <c r="BH748" s="182" t="str">
        <f t="shared" si="12"/>
        <v/>
      </c>
      <c r="BO748"/>
      <c r="BP748"/>
      <c r="BQ748"/>
      <c r="BR748"/>
      <c r="BS748" s="178">
        <f t="shared" si="13"/>
        <v>0</v>
      </c>
      <c r="BT748" s="181">
        <f t="shared" si="14"/>
        <v>0</v>
      </c>
      <c r="BU748" s="182" t="str">
        <f t="shared" si="15"/>
        <v/>
      </c>
      <c r="CD748"/>
      <c r="CG748" s="1296">
        <f t="shared" si="37"/>
        <v>0</v>
      </c>
      <c r="CH748" s="1298"/>
      <c r="CI748" s="1296">
        <f t="shared" si="38"/>
        <v>0</v>
      </c>
      <c r="CJ748" s="1298"/>
      <c r="CK748" s="1296">
        <f t="shared" si="16"/>
        <v>0</v>
      </c>
      <c r="CL748" s="1298"/>
      <c r="CM748" s="1296">
        <f t="shared" si="17"/>
        <v>0</v>
      </c>
      <c r="CN748" s="1298"/>
      <c r="CP748" s="1293">
        <f t="shared" si="18"/>
        <v>0</v>
      </c>
      <c r="CQ748" s="1294"/>
      <c r="CR748" s="1294"/>
      <c r="CS748" s="1294"/>
      <c r="CT748" s="1295"/>
      <c r="CU748" s="1309">
        <f t="shared" si="19"/>
        <v>0</v>
      </c>
      <c r="CV748" s="1309"/>
      <c r="CW748" s="1309"/>
      <c r="CX748" s="1309"/>
      <c r="CY748" s="1309"/>
      <c r="CZ748" s="1309">
        <f t="shared" si="20"/>
        <v>0</v>
      </c>
      <c r="DA748" s="1309"/>
      <c r="DB748" s="1309"/>
      <c r="DC748" s="1309"/>
      <c r="DD748" s="1309"/>
      <c r="DE748" s="1309">
        <f t="shared" si="21"/>
        <v>0</v>
      </c>
      <c r="DF748" s="1309"/>
      <c r="DG748" s="1309"/>
      <c r="DH748" s="1309"/>
      <c r="DI748" s="1309"/>
      <c r="DJ748" s="1309">
        <f t="shared" si="22"/>
        <v>0</v>
      </c>
      <c r="DK748" s="1309"/>
      <c r="DL748" s="1309"/>
      <c r="DM748" s="1309"/>
      <c r="DN748" s="1309"/>
      <c r="DO748" s="1309">
        <f t="shared" si="23"/>
        <v>0</v>
      </c>
      <c r="DP748" s="1309"/>
      <c r="DQ748" s="1309"/>
      <c r="DR748" s="1309"/>
      <c r="DS748" s="1309"/>
      <c r="DT748" s="1151"/>
      <c r="DU748" s="1323">
        <f t="shared" si="24"/>
        <v>0</v>
      </c>
      <c r="DV748" s="1323"/>
      <c r="DW748" s="1323"/>
      <c r="DX748" s="1323"/>
      <c r="DY748" s="1323"/>
      <c r="DZ748" s="1323">
        <f t="shared" si="25"/>
        <v>0</v>
      </c>
      <c r="EA748" s="1323"/>
      <c r="EB748" s="1323"/>
      <c r="EC748" s="1323"/>
      <c r="ED748" s="1323"/>
      <c r="EE748" s="1323">
        <f t="shared" si="26"/>
        <v>0</v>
      </c>
      <c r="EF748" s="1323"/>
      <c r="EG748" s="1323"/>
      <c r="EH748" s="1323"/>
      <c r="EI748" s="1323"/>
      <c r="EJ748" s="1323">
        <f t="shared" si="27"/>
        <v>0</v>
      </c>
      <c r="EK748" s="1323"/>
      <c r="EL748" s="1323"/>
      <c r="EM748" s="1323"/>
      <c r="EN748" s="1323"/>
      <c r="EO748" s="1323">
        <f t="shared" si="28"/>
        <v>0</v>
      </c>
      <c r="EP748" s="1323"/>
      <c r="EQ748" s="1323"/>
      <c r="ER748" s="1323"/>
      <c r="ES748" s="1323"/>
      <c r="ET748" s="1323">
        <f t="shared" si="29"/>
        <v>0</v>
      </c>
      <c r="EU748" s="1323"/>
      <c r="EV748" s="1323"/>
      <c r="EW748" s="1323"/>
      <c r="EX748" s="1323"/>
      <c r="EY748"/>
      <c r="EZ748" s="1296" t="str">
        <f t="shared" si="30"/>
        <v/>
      </c>
      <c r="FA748" s="1297"/>
      <c r="FB748" s="1297"/>
      <c r="FC748" s="1297"/>
      <c r="FD748" s="1298"/>
      <c r="FE748" s="1296" t="str">
        <f t="shared" si="31"/>
        <v/>
      </c>
      <c r="FF748" s="1297"/>
      <c r="FG748" s="1297"/>
      <c r="FH748" s="1297"/>
      <c r="FI748" s="1298"/>
      <c r="FJ748" s="1296" t="str">
        <f t="shared" si="32"/>
        <v/>
      </c>
      <c r="FK748" s="1297"/>
      <c r="FL748" s="1297"/>
      <c r="FM748" s="1297"/>
      <c r="FN748" s="1298"/>
      <c r="FO748" s="1296" t="str">
        <f t="shared" si="33"/>
        <v/>
      </c>
      <c r="FP748" s="1297"/>
      <c r="FQ748" s="1297"/>
      <c r="FR748" s="1297"/>
      <c r="FS748" s="1298"/>
      <c r="FT748" s="1296" t="str">
        <f t="shared" si="34"/>
        <v/>
      </c>
      <c r="FU748" s="1297"/>
      <c r="FV748" s="1297"/>
      <c r="FW748" s="1297"/>
      <c r="FX748" s="1298"/>
      <c r="FY748" s="1296" t="str">
        <f t="shared" si="35"/>
        <v/>
      </c>
      <c r="FZ748" s="1297"/>
      <c r="GA748" s="1297"/>
      <c r="GB748" s="1297"/>
      <c r="GC748" s="1298"/>
    </row>
    <row r="749" spans="1:185" s="2" customFormat="1" ht="13" customHeight="1">
      <c r="A749"/>
      <c r="B749" s="1310"/>
      <c r="C749" s="1311"/>
      <c r="D749" s="1311"/>
      <c r="E749" s="1311"/>
      <c r="F749" s="1312"/>
      <c r="G749" s="1319"/>
      <c r="H749" s="1320"/>
      <c r="I749" s="1320"/>
      <c r="J749" s="1321"/>
      <c r="K749" s="1545"/>
      <c r="L749" s="1546"/>
      <c r="M749" s="1546"/>
      <c r="N749" s="1547"/>
      <c r="O749" s="1420"/>
      <c r="P749" s="1421"/>
      <c r="Q749" s="1421"/>
      <c r="R749" s="1421"/>
      <c r="S749" s="1422"/>
      <c r="T749" s="1420"/>
      <c r="U749" s="1421"/>
      <c r="V749" s="1421"/>
      <c r="W749" s="1422"/>
      <c r="X749" s="1313">
        <f t="shared" si="39"/>
        <v>0</v>
      </c>
      <c r="Y749" s="1314"/>
      <c r="Z749" s="1314"/>
      <c r="AA749" s="1314"/>
      <c r="AB749" s="1315"/>
      <c r="AC749" s="1554"/>
      <c r="AD749" s="1555"/>
      <c r="AE749" s="1555"/>
      <c r="AF749" s="1555"/>
      <c r="AG749" s="1556"/>
      <c r="AH749" s="1316" t="str">
        <f t="shared" si="36"/>
        <v/>
      </c>
      <c r="AI749" s="1317"/>
      <c r="AJ749" s="1318"/>
      <c r="AK749" s="1310" t="s">
        <v>798</v>
      </c>
      <c r="AL749" s="1311"/>
      <c r="AM749" s="1311"/>
      <c r="AN749" s="1311"/>
      <c r="AO749" s="1312"/>
      <c r="AT749"/>
      <c r="AU749"/>
      <c r="AV749"/>
      <c r="AW749"/>
      <c r="AX749"/>
      <c r="AY749" s="763"/>
      <c r="AZ749" s="68" t="str">
        <f t="shared" si="9"/>
        <v>N/A</v>
      </c>
      <c r="BF749" s="178">
        <f t="shared" si="10"/>
        <v>0</v>
      </c>
      <c r="BG749" s="181">
        <f t="shared" si="11"/>
        <v>0</v>
      </c>
      <c r="BH749" s="182" t="str">
        <f t="shared" si="12"/>
        <v/>
      </c>
      <c r="BO749"/>
      <c r="BP749"/>
      <c r="BQ749"/>
      <c r="BR749"/>
      <c r="BS749" s="178">
        <f t="shared" si="13"/>
        <v>0</v>
      </c>
      <c r="BT749" s="181">
        <f t="shared" si="14"/>
        <v>0</v>
      </c>
      <c r="BU749" s="182" t="str">
        <f t="shared" si="15"/>
        <v/>
      </c>
      <c r="CD749"/>
      <c r="CG749" s="1296">
        <f t="shared" si="37"/>
        <v>0</v>
      </c>
      <c r="CH749" s="1298"/>
      <c r="CI749" s="1296">
        <f t="shared" si="38"/>
        <v>0</v>
      </c>
      <c r="CJ749" s="1298"/>
      <c r="CK749" s="1296">
        <f t="shared" si="16"/>
        <v>0</v>
      </c>
      <c r="CL749" s="1298"/>
      <c r="CM749" s="1296">
        <f t="shared" si="17"/>
        <v>0</v>
      </c>
      <c r="CN749" s="1298"/>
      <c r="CP749" s="1293">
        <f t="shared" si="18"/>
        <v>0</v>
      </c>
      <c r="CQ749" s="1294"/>
      <c r="CR749" s="1294"/>
      <c r="CS749" s="1294"/>
      <c r="CT749" s="1295"/>
      <c r="CU749" s="1309">
        <f t="shared" si="19"/>
        <v>0</v>
      </c>
      <c r="CV749" s="1309"/>
      <c r="CW749" s="1309"/>
      <c r="CX749" s="1309"/>
      <c r="CY749" s="1309"/>
      <c r="CZ749" s="1309">
        <f t="shared" si="20"/>
        <v>0</v>
      </c>
      <c r="DA749" s="1309"/>
      <c r="DB749" s="1309"/>
      <c r="DC749" s="1309"/>
      <c r="DD749" s="1309"/>
      <c r="DE749" s="1309">
        <f t="shared" si="21"/>
        <v>0</v>
      </c>
      <c r="DF749" s="1309"/>
      <c r="DG749" s="1309"/>
      <c r="DH749" s="1309"/>
      <c r="DI749" s="1309"/>
      <c r="DJ749" s="1309">
        <f t="shared" si="22"/>
        <v>0</v>
      </c>
      <c r="DK749" s="1309"/>
      <c r="DL749" s="1309"/>
      <c r="DM749" s="1309"/>
      <c r="DN749" s="1309"/>
      <c r="DO749" s="1309">
        <f t="shared" si="23"/>
        <v>0</v>
      </c>
      <c r="DP749" s="1309"/>
      <c r="DQ749" s="1309"/>
      <c r="DR749" s="1309"/>
      <c r="DS749" s="1309"/>
      <c r="DT749" s="1151"/>
      <c r="DU749" s="1323">
        <f t="shared" si="24"/>
        <v>0</v>
      </c>
      <c r="DV749" s="1323"/>
      <c r="DW749" s="1323"/>
      <c r="DX749" s="1323"/>
      <c r="DY749" s="1323"/>
      <c r="DZ749" s="1323">
        <f t="shared" si="25"/>
        <v>0</v>
      </c>
      <c r="EA749" s="1323"/>
      <c r="EB749" s="1323"/>
      <c r="EC749" s="1323"/>
      <c r="ED749" s="1323"/>
      <c r="EE749" s="1323">
        <f t="shared" si="26"/>
        <v>0</v>
      </c>
      <c r="EF749" s="1323"/>
      <c r="EG749" s="1323"/>
      <c r="EH749" s="1323"/>
      <c r="EI749" s="1323"/>
      <c r="EJ749" s="1323">
        <f t="shared" si="27"/>
        <v>0</v>
      </c>
      <c r="EK749" s="1323"/>
      <c r="EL749" s="1323"/>
      <c r="EM749" s="1323"/>
      <c r="EN749" s="1323"/>
      <c r="EO749" s="1323">
        <f t="shared" si="28"/>
        <v>0</v>
      </c>
      <c r="EP749" s="1323"/>
      <c r="EQ749" s="1323"/>
      <c r="ER749" s="1323"/>
      <c r="ES749" s="1323"/>
      <c r="ET749" s="1323">
        <f t="shared" si="29"/>
        <v>0</v>
      </c>
      <c r="EU749" s="1323"/>
      <c r="EV749" s="1323"/>
      <c r="EW749" s="1323"/>
      <c r="EX749" s="1323"/>
      <c r="EY749"/>
      <c r="EZ749" s="1296" t="str">
        <f t="shared" si="30"/>
        <v/>
      </c>
      <c r="FA749" s="1297"/>
      <c r="FB749" s="1297"/>
      <c r="FC749" s="1297"/>
      <c r="FD749" s="1298"/>
      <c r="FE749" s="1296" t="str">
        <f t="shared" si="31"/>
        <v/>
      </c>
      <c r="FF749" s="1297"/>
      <c r="FG749" s="1297"/>
      <c r="FH749" s="1297"/>
      <c r="FI749" s="1298"/>
      <c r="FJ749" s="1296" t="str">
        <f t="shared" si="32"/>
        <v/>
      </c>
      <c r="FK749" s="1297"/>
      <c r="FL749" s="1297"/>
      <c r="FM749" s="1297"/>
      <c r="FN749" s="1298"/>
      <c r="FO749" s="1296" t="str">
        <f t="shared" si="33"/>
        <v/>
      </c>
      <c r="FP749" s="1297"/>
      <c r="FQ749" s="1297"/>
      <c r="FR749" s="1297"/>
      <c r="FS749" s="1298"/>
      <c r="FT749" s="1296" t="str">
        <f t="shared" si="34"/>
        <v/>
      </c>
      <c r="FU749" s="1297"/>
      <c r="FV749" s="1297"/>
      <c r="FW749" s="1297"/>
      <c r="FX749" s="1298"/>
      <c r="FY749" s="1296" t="str">
        <f t="shared" si="35"/>
        <v/>
      </c>
      <c r="FZ749" s="1297"/>
      <c r="GA749" s="1297"/>
      <c r="GB749" s="1297"/>
      <c r="GC749" s="1298"/>
    </row>
    <row r="750" spans="1:185" s="2" customFormat="1" ht="13" customHeight="1">
      <c r="A750"/>
      <c r="B750" s="1310"/>
      <c r="C750" s="1311"/>
      <c r="D750" s="1311"/>
      <c r="E750" s="1311"/>
      <c r="F750" s="1312"/>
      <c r="G750" s="1319"/>
      <c r="H750" s="1320"/>
      <c r="I750" s="1320"/>
      <c r="J750" s="1321"/>
      <c r="K750" s="1545"/>
      <c r="L750" s="1546"/>
      <c r="M750" s="1546"/>
      <c r="N750" s="1547"/>
      <c r="O750" s="1420"/>
      <c r="P750" s="1421"/>
      <c r="Q750" s="1421"/>
      <c r="R750" s="1421"/>
      <c r="S750" s="1422"/>
      <c r="T750" s="1420"/>
      <c r="U750" s="1421"/>
      <c r="V750" s="1421"/>
      <c r="W750" s="1422"/>
      <c r="X750" s="1313">
        <f t="shared" si="39"/>
        <v>0</v>
      </c>
      <c r="Y750" s="1314"/>
      <c r="Z750" s="1314"/>
      <c r="AA750" s="1314"/>
      <c r="AB750" s="1315"/>
      <c r="AC750" s="1554"/>
      <c r="AD750" s="1555"/>
      <c r="AE750" s="1555"/>
      <c r="AF750" s="1555"/>
      <c r="AG750" s="1556"/>
      <c r="AH750" s="1316" t="str">
        <f t="shared" si="36"/>
        <v/>
      </c>
      <c r="AI750" s="1317"/>
      <c r="AJ750" s="1318"/>
      <c r="AK750" s="1310" t="s">
        <v>798</v>
      </c>
      <c r="AL750" s="1311"/>
      <c r="AM750" s="1311"/>
      <c r="AN750" s="1311"/>
      <c r="AO750" s="1312"/>
      <c r="AT750"/>
      <c r="AU750"/>
      <c r="AV750"/>
      <c r="AW750"/>
      <c r="AX750"/>
      <c r="AY750"/>
      <c r="AZ750" s="68" t="str">
        <f t="shared" si="9"/>
        <v>N/A</v>
      </c>
      <c r="BF750" s="178">
        <f t="shared" si="10"/>
        <v>0</v>
      </c>
      <c r="BG750" s="181">
        <f t="shared" si="11"/>
        <v>0</v>
      </c>
      <c r="BH750" s="182" t="str">
        <f t="shared" si="12"/>
        <v/>
      </c>
      <c r="BO750"/>
      <c r="BP750"/>
      <c r="BQ750"/>
      <c r="BR750"/>
      <c r="BS750" s="178">
        <f t="shared" si="13"/>
        <v>0</v>
      </c>
      <c r="BT750" s="181">
        <f t="shared" si="14"/>
        <v>0</v>
      </c>
      <c r="BU750" s="182" t="str">
        <f t="shared" si="15"/>
        <v/>
      </c>
      <c r="CD750"/>
      <c r="CG750" s="1296">
        <f t="shared" si="37"/>
        <v>0</v>
      </c>
      <c r="CH750" s="1298"/>
      <c r="CI750" s="1296">
        <f t="shared" si="38"/>
        <v>0</v>
      </c>
      <c r="CJ750" s="1298"/>
      <c r="CK750" s="1296">
        <f t="shared" si="16"/>
        <v>0</v>
      </c>
      <c r="CL750" s="1298"/>
      <c r="CM750" s="1296">
        <f t="shared" si="17"/>
        <v>0</v>
      </c>
      <c r="CN750" s="1298"/>
      <c r="CP750" s="1293">
        <f t="shared" si="18"/>
        <v>0</v>
      </c>
      <c r="CQ750" s="1294"/>
      <c r="CR750" s="1294"/>
      <c r="CS750" s="1294"/>
      <c r="CT750" s="1295"/>
      <c r="CU750" s="1309">
        <f t="shared" si="19"/>
        <v>0</v>
      </c>
      <c r="CV750" s="1309"/>
      <c r="CW750" s="1309"/>
      <c r="CX750" s="1309"/>
      <c r="CY750" s="1309"/>
      <c r="CZ750" s="1309">
        <f t="shared" si="20"/>
        <v>0</v>
      </c>
      <c r="DA750" s="1309"/>
      <c r="DB750" s="1309"/>
      <c r="DC750" s="1309"/>
      <c r="DD750" s="1309"/>
      <c r="DE750" s="1309">
        <f t="shared" si="21"/>
        <v>0</v>
      </c>
      <c r="DF750" s="1309"/>
      <c r="DG750" s="1309"/>
      <c r="DH750" s="1309"/>
      <c r="DI750" s="1309"/>
      <c r="DJ750" s="1309">
        <f t="shared" si="22"/>
        <v>0</v>
      </c>
      <c r="DK750" s="1309"/>
      <c r="DL750" s="1309"/>
      <c r="DM750" s="1309"/>
      <c r="DN750" s="1309"/>
      <c r="DO750" s="1309">
        <f t="shared" si="23"/>
        <v>0</v>
      </c>
      <c r="DP750" s="1309"/>
      <c r="DQ750" s="1309"/>
      <c r="DR750" s="1309"/>
      <c r="DS750" s="1309"/>
      <c r="DT750" s="1151"/>
      <c r="DU750" s="1323">
        <f t="shared" si="24"/>
        <v>0</v>
      </c>
      <c r="DV750" s="1323"/>
      <c r="DW750" s="1323"/>
      <c r="DX750" s="1323"/>
      <c r="DY750" s="1323"/>
      <c r="DZ750" s="1323">
        <f t="shared" si="25"/>
        <v>0</v>
      </c>
      <c r="EA750" s="1323"/>
      <c r="EB750" s="1323"/>
      <c r="EC750" s="1323"/>
      <c r="ED750" s="1323"/>
      <c r="EE750" s="1323">
        <f t="shared" si="26"/>
        <v>0</v>
      </c>
      <c r="EF750" s="1323"/>
      <c r="EG750" s="1323"/>
      <c r="EH750" s="1323"/>
      <c r="EI750" s="1323"/>
      <c r="EJ750" s="1323">
        <f t="shared" si="27"/>
        <v>0</v>
      </c>
      <c r="EK750" s="1323"/>
      <c r="EL750" s="1323"/>
      <c r="EM750" s="1323"/>
      <c r="EN750" s="1323"/>
      <c r="EO750" s="1323">
        <f t="shared" si="28"/>
        <v>0</v>
      </c>
      <c r="EP750" s="1323"/>
      <c r="EQ750" s="1323"/>
      <c r="ER750" s="1323"/>
      <c r="ES750" s="1323"/>
      <c r="ET750" s="1323">
        <f t="shared" si="29"/>
        <v>0</v>
      </c>
      <c r="EU750" s="1323"/>
      <c r="EV750" s="1323"/>
      <c r="EW750" s="1323"/>
      <c r="EX750" s="1323"/>
      <c r="EY750"/>
      <c r="EZ750" s="1296" t="str">
        <f t="shared" si="30"/>
        <v/>
      </c>
      <c r="FA750" s="1297"/>
      <c r="FB750" s="1297"/>
      <c r="FC750" s="1297"/>
      <c r="FD750" s="1298"/>
      <c r="FE750" s="1296" t="str">
        <f t="shared" si="31"/>
        <v/>
      </c>
      <c r="FF750" s="1297"/>
      <c r="FG750" s="1297"/>
      <c r="FH750" s="1297"/>
      <c r="FI750" s="1298"/>
      <c r="FJ750" s="1296" t="str">
        <f t="shared" si="32"/>
        <v/>
      </c>
      <c r="FK750" s="1297"/>
      <c r="FL750" s="1297"/>
      <c r="FM750" s="1297"/>
      <c r="FN750" s="1298"/>
      <c r="FO750" s="1296" t="str">
        <f t="shared" si="33"/>
        <v/>
      </c>
      <c r="FP750" s="1297"/>
      <c r="FQ750" s="1297"/>
      <c r="FR750" s="1297"/>
      <c r="FS750" s="1298"/>
      <c r="FT750" s="1296" t="str">
        <f t="shared" si="34"/>
        <v/>
      </c>
      <c r="FU750" s="1297"/>
      <c r="FV750" s="1297"/>
      <c r="FW750" s="1297"/>
      <c r="FX750" s="1298"/>
      <c r="FY750" s="1296" t="str">
        <f t="shared" si="35"/>
        <v/>
      </c>
      <c r="FZ750" s="1297"/>
      <c r="GA750" s="1297"/>
      <c r="GB750" s="1297"/>
      <c r="GC750" s="1298"/>
    </row>
    <row r="751" spans="1:185" s="2" customFormat="1" ht="13" customHeight="1">
      <c r="A751"/>
      <c r="B751" s="1310"/>
      <c r="C751" s="1311"/>
      <c r="D751" s="1311"/>
      <c r="E751" s="1311"/>
      <c r="F751" s="1312"/>
      <c r="G751" s="1319"/>
      <c r="H751" s="1320"/>
      <c r="I751" s="1320"/>
      <c r="J751" s="1321"/>
      <c r="K751" s="1545"/>
      <c r="L751" s="1546"/>
      <c r="M751" s="1546"/>
      <c r="N751" s="1547"/>
      <c r="O751" s="1420"/>
      <c r="P751" s="1421"/>
      <c r="Q751" s="1421"/>
      <c r="R751" s="1421"/>
      <c r="S751" s="1422"/>
      <c r="T751" s="1420"/>
      <c r="U751" s="1421"/>
      <c r="V751" s="1421"/>
      <c r="W751" s="1422"/>
      <c r="X751" s="1313">
        <f t="shared" si="39"/>
        <v>0</v>
      </c>
      <c r="Y751" s="1314"/>
      <c r="Z751" s="1314"/>
      <c r="AA751" s="1314"/>
      <c r="AB751" s="1315"/>
      <c r="AC751" s="1554"/>
      <c r="AD751" s="1555"/>
      <c r="AE751" s="1555"/>
      <c r="AF751" s="1555"/>
      <c r="AG751" s="1556"/>
      <c r="AH751" s="1316" t="str">
        <f t="shared" si="36"/>
        <v/>
      </c>
      <c r="AI751" s="1317"/>
      <c r="AJ751" s="1318"/>
      <c r="AK751" s="1310" t="s">
        <v>798</v>
      </c>
      <c r="AL751" s="1311"/>
      <c r="AM751" s="1311"/>
      <c r="AN751" s="1311"/>
      <c r="AO751" s="1312"/>
      <c r="AT751"/>
      <c r="AU751"/>
      <c r="AV751"/>
      <c r="AW751"/>
      <c r="AX751"/>
      <c r="AY751"/>
      <c r="AZ751" s="68" t="str">
        <f t="shared" si="9"/>
        <v>N/A</v>
      </c>
      <c r="BF751" s="178">
        <f t="shared" si="10"/>
        <v>0</v>
      </c>
      <c r="BG751" s="181">
        <f t="shared" si="11"/>
        <v>0</v>
      </c>
      <c r="BH751" s="182" t="str">
        <f t="shared" si="12"/>
        <v/>
      </c>
      <c r="BO751"/>
      <c r="BP751"/>
      <c r="BQ751"/>
      <c r="BR751"/>
      <c r="BS751" s="178">
        <f t="shared" si="13"/>
        <v>0</v>
      </c>
      <c r="BT751" s="181">
        <f t="shared" si="14"/>
        <v>0</v>
      </c>
      <c r="BU751" s="182" t="str">
        <f t="shared" si="15"/>
        <v/>
      </c>
      <c r="CD751"/>
      <c r="CG751" s="1296">
        <f t="shared" si="37"/>
        <v>0</v>
      </c>
      <c r="CH751" s="1298"/>
      <c r="CI751" s="1296">
        <f t="shared" si="38"/>
        <v>0</v>
      </c>
      <c r="CJ751" s="1298"/>
      <c r="CK751" s="1296">
        <f t="shared" si="16"/>
        <v>0</v>
      </c>
      <c r="CL751" s="1298"/>
      <c r="CM751" s="1296">
        <f t="shared" si="17"/>
        <v>0</v>
      </c>
      <c r="CN751" s="1298"/>
      <c r="CP751" s="1293">
        <f t="shared" si="18"/>
        <v>0</v>
      </c>
      <c r="CQ751" s="1294"/>
      <c r="CR751" s="1294"/>
      <c r="CS751" s="1294"/>
      <c r="CT751" s="1295"/>
      <c r="CU751" s="1309">
        <f t="shared" si="19"/>
        <v>0</v>
      </c>
      <c r="CV751" s="1309"/>
      <c r="CW751" s="1309"/>
      <c r="CX751" s="1309"/>
      <c r="CY751" s="1309"/>
      <c r="CZ751" s="1309">
        <f t="shared" si="20"/>
        <v>0</v>
      </c>
      <c r="DA751" s="1309"/>
      <c r="DB751" s="1309"/>
      <c r="DC751" s="1309"/>
      <c r="DD751" s="1309"/>
      <c r="DE751" s="1309">
        <f t="shared" si="21"/>
        <v>0</v>
      </c>
      <c r="DF751" s="1309"/>
      <c r="DG751" s="1309"/>
      <c r="DH751" s="1309"/>
      <c r="DI751" s="1309"/>
      <c r="DJ751" s="1309">
        <f t="shared" si="22"/>
        <v>0</v>
      </c>
      <c r="DK751" s="1309"/>
      <c r="DL751" s="1309"/>
      <c r="DM751" s="1309"/>
      <c r="DN751" s="1309"/>
      <c r="DO751" s="1309">
        <f t="shared" si="23"/>
        <v>0</v>
      </c>
      <c r="DP751" s="1309"/>
      <c r="DQ751" s="1309"/>
      <c r="DR751" s="1309"/>
      <c r="DS751" s="1309"/>
      <c r="DT751" s="1151"/>
      <c r="DU751" s="1323">
        <f t="shared" si="24"/>
        <v>0</v>
      </c>
      <c r="DV751" s="1323"/>
      <c r="DW751" s="1323"/>
      <c r="DX751" s="1323"/>
      <c r="DY751" s="1323"/>
      <c r="DZ751" s="1323">
        <f t="shared" si="25"/>
        <v>0</v>
      </c>
      <c r="EA751" s="1323"/>
      <c r="EB751" s="1323"/>
      <c r="EC751" s="1323"/>
      <c r="ED751" s="1323"/>
      <c r="EE751" s="1323">
        <f t="shared" si="26"/>
        <v>0</v>
      </c>
      <c r="EF751" s="1323"/>
      <c r="EG751" s="1323"/>
      <c r="EH751" s="1323"/>
      <c r="EI751" s="1323"/>
      <c r="EJ751" s="1323">
        <f t="shared" si="27"/>
        <v>0</v>
      </c>
      <c r="EK751" s="1323"/>
      <c r="EL751" s="1323"/>
      <c r="EM751" s="1323"/>
      <c r="EN751" s="1323"/>
      <c r="EO751" s="1323">
        <f t="shared" si="28"/>
        <v>0</v>
      </c>
      <c r="EP751" s="1323"/>
      <c r="EQ751" s="1323"/>
      <c r="ER751" s="1323"/>
      <c r="ES751" s="1323"/>
      <c r="ET751" s="1323">
        <f t="shared" si="29"/>
        <v>0</v>
      </c>
      <c r="EU751" s="1323"/>
      <c r="EV751" s="1323"/>
      <c r="EW751" s="1323"/>
      <c r="EX751" s="1323"/>
      <c r="EY751"/>
      <c r="EZ751" s="1296" t="str">
        <f t="shared" si="30"/>
        <v/>
      </c>
      <c r="FA751" s="1297"/>
      <c r="FB751" s="1297"/>
      <c r="FC751" s="1297"/>
      <c r="FD751" s="1298"/>
      <c r="FE751" s="1296" t="str">
        <f t="shared" si="31"/>
        <v/>
      </c>
      <c r="FF751" s="1297"/>
      <c r="FG751" s="1297"/>
      <c r="FH751" s="1297"/>
      <c r="FI751" s="1298"/>
      <c r="FJ751" s="1296" t="str">
        <f t="shared" si="32"/>
        <v/>
      </c>
      <c r="FK751" s="1297"/>
      <c r="FL751" s="1297"/>
      <c r="FM751" s="1297"/>
      <c r="FN751" s="1298"/>
      <c r="FO751" s="1296" t="str">
        <f t="shared" si="33"/>
        <v/>
      </c>
      <c r="FP751" s="1297"/>
      <c r="FQ751" s="1297"/>
      <c r="FR751" s="1297"/>
      <c r="FS751" s="1298"/>
      <c r="FT751" s="1296" t="str">
        <f t="shared" si="34"/>
        <v/>
      </c>
      <c r="FU751" s="1297"/>
      <c r="FV751" s="1297"/>
      <c r="FW751" s="1297"/>
      <c r="FX751" s="1298"/>
      <c r="FY751" s="1296" t="str">
        <f t="shared" si="35"/>
        <v/>
      </c>
      <c r="FZ751" s="1297"/>
      <c r="GA751" s="1297"/>
      <c r="GB751" s="1297"/>
      <c r="GC751" s="1298"/>
    </row>
    <row r="752" spans="1:185" s="2" customFormat="1" ht="13" customHeight="1">
      <c r="A752"/>
      <c r="B752" s="1310"/>
      <c r="C752" s="1311"/>
      <c r="D752" s="1311"/>
      <c r="E752" s="1311"/>
      <c r="F752" s="1312"/>
      <c r="G752" s="1319"/>
      <c r="H752" s="1320"/>
      <c r="I752" s="1320"/>
      <c r="J752" s="1321"/>
      <c r="K752" s="1545"/>
      <c r="L752" s="1546"/>
      <c r="M752" s="1546"/>
      <c r="N752" s="1547"/>
      <c r="O752" s="1420"/>
      <c r="P752" s="1421"/>
      <c r="Q752" s="1421"/>
      <c r="R752" s="1421"/>
      <c r="S752" s="1422"/>
      <c r="T752" s="1420"/>
      <c r="U752" s="1421"/>
      <c r="V752" s="1421"/>
      <c r="W752" s="1422"/>
      <c r="X752" s="1313">
        <f>O752+T752</f>
        <v>0</v>
      </c>
      <c r="Y752" s="1314"/>
      <c r="Z752" s="1314"/>
      <c r="AA752" s="1314"/>
      <c r="AB752" s="1315"/>
      <c r="AC752" s="1554"/>
      <c r="AD752" s="1555"/>
      <c r="AE752" s="1555"/>
      <c r="AF752" s="1555"/>
      <c r="AG752" s="1556"/>
      <c r="AH752" s="1316" t="str">
        <f t="shared" si="36"/>
        <v/>
      </c>
      <c r="AI752" s="1317"/>
      <c r="AJ752" s="1318"/>
      <c r="AK752" s="1310" t="s">
        <v>798</v>
      </c>
      <c r="AL752" s="1311"/>
      <c r="AM752" s="1311"/>
      <c r="AN752" s="1311"/>
      <c r="AO752" s="1312"/>
      <c r="AT752"/>
      <c r="AU752"/>
      <c r="AV752"/>
      <c r="AW752"/>
      <c r="AX752"/>
      <c r="AY752"/>
      <c r="AZ752" s="68" t="str">
        <f t="shared" si="9"/>
        <v>N/A</v>
      </c>
      <c r="BE752"/>
      <c r="BF752" s="178">
        <f t="shared" si="10"/>
        <v>0</v>
      </c>
      <c r="BG752" s="181">
        <f t="shared" si="11"/>
        <v>0</v>
      </c>
      <c r="BH752" s="182" t="str">
        <f t="shared" si="12"/>
        <v/>
      </c>
      <c r="BO752"/>
      <c r="BP752"/>
      <c r="BQ752"/>
      <c r="BR752"/>
      <c r="BS752" s="682">
        <f t="shared" si="13"/>
        <v>0</v>
      </c>
      <c r="BT752" s="181">
        <f t="shared" si="14"/>
        <v>0</v>
      </c>
      <c r="BU752" s="182" t="str">
        <f t="shared" si="15"/>
        <v/>
      </c>
      <c r="CD752"/>
      <c r="CG752" s="1296">
        <f t="shared" si="37"/>
        <v>0</v>
      </c>
      <c r="CH752" s="1298"/>
      <c r="CI752" s="1296">
        <f t="shared" si="38"/>
        <v>0</v>
      </c>
      <c r="CJ752" s="1298"/>
      <c r="CK752" s="1296">
        <f t="shared" si="16"/>
        <v>0</v>
      </c>
      <c r="CL752" s="1298"/>
      <c r="CM752" s="1296">
        <f t="shared" si="17"/>
        <v>0</v>
      </c>
      <c r="CN752" s="1298"/>
      <c r="CP752" s="1293">
        <f t="shared" si="18"/>
        <v>0</v>
      </c>
      <c r="CQ752" s="1294"/>
      <c r="CR752" s="1294"/>
      <c r="CS752" s="1294"/>
      <c r="CT752" s="1295"/>
      <c r="CU752" s="1309">
        <f t="shared" si="19"/>
        <v>0</v>
      </c>
      <c r="CV752" s="1309"/>
      <c r="CW752" s="1309"/>
      <c r="CX752" s="1309"/>
      <c r="CY752" s="1309"/>
      <c r="CZ752" s="1309">
        <f t="shared" si="20"/>
        <v>0</v>
      </c>
      <c r="DA752" s="1309"/>
      <c r="DB752" s="1309"/>
      <c r="DC752" s="1309"/>
      <c r="DD752" s="1309"/>
      <c r="DE752" s="1309">
        <f t="shared" si="21"/>
        <v>0</v>
      </c>
      <c r="DF752" s="1309"/>
      <c r="DG752" s="1309"/>
      <c r="DH752" s="1309"/>
      <c r="DI752" s="1309"/>
      <c r="DJ752" s="1309">
        <f t="shared" si="22"/>
        <v>0</v>
      </c>
      <c r="DK752" s="1309"/>
      <c r="DL752" s="1309"/>
      <c r="DM752" s="1309"/>
      <c r="DN752" s="1309"/>
      <c r="DO752" s="1309">
        <f t="shared" si="23"/>
        <v>0</v>
      </c>
      <c r="DP752" s="1309"/>
      <c r="DQ752" s="1309"/>
      <c r="DR752" s="1309"/>
      <c r="DS752" s="1309"/>
      <c r="DT752" s="1151"/>
      <c r="DU752" s="1323">
        <f t="shared" si="24"/>
        <v>0</v>
      </c>
      <c r="DV752" s="1323"/>
      <c r="DW752" s="1323"/>
      <c r="DX752" s="1323"/>
      <c r="DY752" s="1323"/>
      <c r="DZ752" s="1323">
        <f t="shared" si="25"/>
        <v>0</v>
      </c>
      <c r="EA752" s="1323"/>
      <c r="EB752" s="1323"/>
      <c r="EC752" s="1323"/>
      <c r="ED752" s="1323"/>
      <c r="EE752" s="1323">
        <f t="shared" si="26"/>
        <v>0</v>
      </c>
      <c r="EF752" s="1323"/>
      <c r="EG752" s="1323"/>
      <c r="EH752" s="1323"/>
      <c r="EI752" s="1323"/>
      <c r="EJ752" s="1323">
        <f t="shared" si="27"/>
        <v>0</v>
      </c>
      <c r="EK752" s="1323"/>
      <c r="EL752" s="1323"/>
      <c r="EM752" s="1323"/>
      <c r="EN752" s="1323"/>
      <c r="EO752" s="1323">
        <f t="shared" si="28"/>
        <v>0</v>
      </c>
      <c r="EP752" s="1323"/>
      <c r="EQ752" s="1323"/>
      <c r="ER752" s="1323"/>
      <c r="ES752" s="1323"/>
      <c r="ET752" s="1323">
        <f t="shared" si="29"/>
        <v>0</v>
      </c>
      <c r="EU752" s="1323"/>
      <c r="EV752" s="1323"/>
      <c r="EW752" s="1323"/>
      <c r="EX752" s="1323"/>
      <c r="EY752"/>
      <c r="EZ752" s="1296" t="str">
        <f t="shared" si="30"/>
        <v/>
      </c>
      <c r="FA752" s="1297"/>
      <c r="FB752" s="1297"/>
      <c r="FC752" s="1297"/>
      <c r="FD752" s="1298"/>
      <c r="FE752" s="1296" t="str">
        <f t="shared" si="31"/>
        <v/>
      </c>
      <c r="FF752" s="1297"/>
      <c r="FG752" s="1297"/>
      <c r="FH752" s="1297"/>
      <c r="FI752" s="1298"/>
      <c r="FJ752" s="1296" t="str">
        <f t="shared" si="32"/>
        <v/>
      </c>
      <c r="FK752" s="1297"/>
      <c r="FL752" s="1297"/>
      <c r="FM752" s="1297"/>
      <c r="FN752" s="1298"/>
      <c r="FO752" s="1296" t="str">
        <f t="shared" si="33"/>
        <v/>
      </c>
      <c r="FP752" s="1297"/>
      <c r="FQ752" s="1297"/>
      <c r="FR752" s="1297"/>
      <c r="FS752" s="1298"/>
      <c r="FT752" s="1296" t="str">
        <f t="shared" si="34"/>
        <v/>
      </c>
      <c r="FU752" s="1297"/>
      <c r="FV752" s="1297"/>
      <c r="FW752" s="1297"/>
      <c r="FX752" s="1298"/>
      <c r="FY752" s="1296" t="str">
        <f t="shared" si="35"/>
        <v/>
      </c>
      <c r="FZ752" s="1297"/>
      <c r="GA752" s="1297"/>
      <c r="GB752" s="1297"/>
      <c r="GC752" s="1298"/>
    </row>
    <row r="753" spans="1:185" s="2" customFormat="1" ht="13" customHeight="1">
      <c r="A753"/>
      <c r="B753" s="1360" t="s">
        <v>1478</v>
      </c>
      <c r="C753" s="1361"/>
      <c r="D753" s="1361"/>
      <c r="E753" s="1361"/>
      <c r="F753" s="1363"/>
      <c r="G753" s="1653">
        <f>SUM(G718:G752)</f>
        <v>52</v>
      </c>
      <c r="H753" s="1654"/>
      <c r="I753" s="1654"/>
      <c r="J753" s="1655"/>
      <c r="K753" s="711" t="s">
        <v>1479</v>
      </c>
      <c r="L753" s="4"/>
      <c r="M753" s="4"/>
      <c r="N753" s="1105"/>
      <c r="O753" s="1313">
        <f>SUMPRODUCT(G718:G752,O718:O752)</f>
        <v>56562.400000000001</v>
      </c>
      <c r="P753" s="1314"/>
      <c r="Q753" s="1314"/>
      <c r="R753" s="1314"/>
      <c r="S753" s="1315"/>
      <c r="T753"/>
      <c r="U753"/>
      <c r="V753"/>
      <c r="W753"/>
      <c r="X753" s="713" t="s">
        <v>1480</v>
      </c>
      <c r="Y753" s="712"/>
      <c r="Z753" s="712"/>
      <c r="AA753" s="712"/>
      <c r="AB753" s="714"/>
      <c r="AC753" s="1558">
        <f>BH753</f>
        <v>0.4557692307692307</v>
      </c>
      <c r="AD753" s="1559"/>
      <c r="AE753" s="1559"/>
      <c r="AF753" s="1559"/>
      <c r="AG753" s="1560"/>
      <c r="AH753" s="1558">
        <f>IFERROR(BU753,"")</f>
        <v>0.45574334143993145</v>
      </c>
      <c r="AI753" s="1559"/>
      <c r="AJ753" s="1560"/>
      <c r="AK753"/>
      <c r="AL753"/>
      <c r="AM753"/>
      <c r="AN753"/>
      <c r="AO753"/>
      <c r="AP753" s="114"/>
      <c r="AQ753" s="114"/>
      <c r="AR753" s="114"/>
      <c r="AS753" s="114"/>
      <c r="AT753"/>
      <c r="AU753"/>
      <c r="AV753"/>
      <c r="AW753"/>
      <c r="AX753"/>
      <c r="AY753"/>
      <c r="BE753" s="175" t="s">
        <v>1481</v>
      </c>
      <c r="BF753" s="183">
        <f>SUM(BF718:BF752)</f>
        <v>52</v>
      </c>
      <c r="BG753" s="184">
        <f>SUM(BG718:BG752)</f>
        <v>0.99999999999999989</v>
      </c>
      <c r="BH753" s="184">
        <f>SUM(BH718:BH752)</f>
        <v>0.4557692307692307</v>
      </c>
      <c r="BI753"/>
      <c r="BJ753"/>
      <c r="BK753"/>
      <c r="BL753"/>
      <c r="BO753"/>
      <c r="BP753"/>
      <c r="BQ753"/>
      <c r="BR753"/>
      <c r="BS753" s="681">
        <f>SUM(BS718:BS752)</f>
        <v>52</v>
      </c>
      <c r="BT753" s="184">
        <f>SUM(BT718:BT752)</f>
        <v>0.99999999999999989</v>
      </c>
      <c r="BU753" s="184">
        <f>SUM(BU718:BU752)</f>
        <v>0.45574334143993145</v>
      </c>
      <c r="CI753" s="1296">
        <f>SUM(CI718:CJ752)</f>
        <v>0</v>
      </c>
      <c r="CJ753" s="1298"/>
      <c r="CM753" s="1296">
        <f>SUM(CM718:CN752)</f>
        <v>25</v>
      </c>
      <c r="CN753" s="1298"/>
      <c r="CP753" s="1296">
        <f>SUM(CP718:CT752)</f>
        <v>0</v>
      </c>
      <c r="CQ753" s="1297"/>
      <c r="CR753" s="1297"/>
      <c r="CS753" s="1297"/>
      <c r="CT753" s="1298"/>
      <c r="CU753" s="1322">
        <f>SUM(CU718:CY752)</f>
        <v>6</v>
      </c>
      <c r="CV753" s="1322"/>
      <c r="CW753" s="1322"/>
      <c r="CX753" s="1322"/>
      <c r="CY753" s="1322"/>
      <c r="CZ753" s="1322">
        <f>SUM(CZ718:DD752)</f>
        <v>24</v>
      </c>
      <c r="DA753" s="1322"/>
      <c r="DB753" s="1322"/>
      <c r="DC753" s="1322"/>
      <c r="DD753" s="1322"/>
      <c r="DE753" s="1322">
        <f>SUM(DE718:DI752)</f>
        <v>22</v>
      </c>
      <c r="DF753" s="1322"/>
      <c r="DG753" s="1322"/>
      <c r="DH753" s="1322"/>
      <c r="DI753" s="1322"/>
      <c r="DJ753" s="1322">
        <f>SUM(DJ718:DN752)</f>
        <v>0</v>
      </c>
      <c r="DK753" s="1322"/>
      <c r="DL753" s="1322"/>
      <c r="DM753" s="1322"/>
      <c r="DN753" s="1322"/>
      <c r="DO753" s="1322">
        <f>SUM(DO718:DS752)</f>
        <v>0</v>
      </c>
      <c r="DP753" s="1322"/>
      <c r="DQ753" s="1322"/>
      <c r="DR753" s="1322"/>
      <c r="DS753" s="1322"/>
      <c r="DT753" s="1151"/>
      <c r="DU753" s="1322">
        <f>SUM(DU718:DY752)</f>
        <v>0</v>
      </c>
      <c r="DV753" s="1322"/>
      <c r="DW753" s="1322"/>
      <c r="DX753" s="1322"/>
      <c r="DY753" s="1322"/>
      <c r="DZ753" s="1322">
        <f>SUM(DZ718:ED752)</f>
        <v>0</v>
      </c>
      <c r="EA753" s="1322"/>
      <c r="EB753" s="1322"/>
      <c r="EC753" s="1322"/>
      <c r="ED753" s="1322"/>
      <c r="EE753" s="1322">
        <f>SUM(EE718:EI752)</f>
        <v>10</v>
      </c>
      <c r="EF753" s="1322"/>
      <c r="EG753" s="1322"/>
      <c r="EH753" s="1322"/>
      <c r="EI753" s="1322"/>
      <c r="EJ753" s="1322">
        <f>SUM(EJ718:EN752)</f>
        <v>15</v>
      </c>
      <c r="EK753" s="1322"/>
      <c r="EL753" s="1322"/>
      <c r="EM753" s="1322"/>
      <c r="EN753" s="1322"/>
      <c r="EO753" s="1322">
        <f>SUM(EO718:ES752)</f>
        <v>0</v>
      </c>
      <c r="EP753" s="1322"/>
      <c r="EQ753" s="1322"/>
      <c r="ER753" s="1322"/>
      <c r="ES753" s="1322"/>
      <c r="ET753" s="1322">
        <f>SUM(ET718:EX752)</f>
        <v>0</v>
      </c>
      <c r="EU753" s="1322"/>
      <c r="EV753" s="1322"/>
      <c r="EW753" s="1322"/>
      <c r="EX753" s="1322"/>
      <c r="EY753"/>
      <c r="EZ753" s="1322">
        <f>SUM(EZ718:FD752)</f>
        <v>0</v>
      </c>
      <c r="FA753" s="1322"/>
      <c r="FB753" s="1322"/>
      <c r="FC753" s="1322"/>
      <c r="FD753" s="1322"/>
      <c r="FE753" s="1322">
        <f>SUM(FE718:FI752)</f>
        <v>1239</v>
      </c>
      <c r="FF753" s="1322"/>
      <c r="FG753" s="1322"/>
      <c r="FH753" s="1322"/>
      <c r="FI753" s="1322"/>
      <c r="FJ753" s="1322">
        <f>SUM(FJ718:FN752)</f>
        <v>2099.1999999999998</v>
      </c>
      <c r="FK753" s="1322"/>
      <c r="FL753" s="1322"/>
      <c r="FM753" s="1322"/>
      <c r="FN753" s="1322"/>
      <c r="FO753" s="1322">
        <f>SUM(FO718:FS752)</f>
        <v>2373.1999999999998</v>
      </c>
      <c r="FP753" s="1322"/>
      <c r="FQ753" s="1322"/>
      <c r="FR753" s="1322"/>
      <c r="FS753" s="1322"/>
      <c r="FT753" s="1322">
        <f>SUM(FT718:FX752)</f>
        <v>0</v>
      </c>
      <c r="FU753" s="1322"/>
      <c r="FV753" s="1322"/>
      <c r="FW753" s="1322"/>
      <c r="FX753" s="1322"/>
      <c r="FY753" s="1322">
        <f>SUM(FY718:GC752)</f>
        <v>0</v>
      </c>
      <c r="FZ753" s="1322"/>
      <c r="GA753" s="1322"/>
      <c r="GB753" s="1322"/>
      <c r="GC753" s="1322"/>
    </row>
    <row r="754" spans="1:185" s="2" customFormat="1" ht="13" customHeight="1">
      <c r="A754"/>
      <c r="B754" s="1657" t="s">
        <v>1482</v>
      </c>
      <c r="C754" s="1657"/>
      <c r="D754" s="1657"/>
      <c r="E754" s="1657"/>
      <c r="F754" s="1657"/>
      <c r="G754" s="1657"/>
      <c r="H754" s="1657"/>
      <c r="I754" s="1657"/>
      <c r="J754" s="1657"/>
      <c r="K754" s="1657"/>
      <c r="L754" s="1657"/>
      <c r="M754" s="1657"/>
      <c r="N754" s="1657"/>
      <c r="O754" s="1657"/>
      <c r="P754" s="1657"/>
      <c r="Q754" s="1657"/>
      <c r="R754" s="1657"/>
      <c r="S754" s="1657"/>
      <c r="T754" s="1657"/>
      <c r="U754" s="1657"/>
      <c r="V754" s="1657"/>
      <c r="W754" s="1657"/>
      <c r="X754" s="1657"/>
      <c r="Y754" s="1657"/>
      <c r="Z754" s="1657"/>
      <c r="AA754" s="1657"/>
      <c r="AB754" s="1657"/>
      <c r="AC754" s="1657"/>
      <c r="AD754" s="1657"/>
      <c r="AE754" s="1657"/>
      <c r="AF754" s="1657"/>
      <c r="AG754" s="1657"/>
      <c r="AH754" s="1657"/>
      <c r="AI754"/>
      <c r="AJ754"/>
      <c r="AK754"/>
      <c r="AT754"/>
      <c r="AU754"/>
      <c r="AV754"/>
      <c r="AW754"/>
      <c r="AX754"/>
      <c r="AY754"/>
      <c r="CD754"/>
      <c r="DN754" s="37" t="s">
        <v>1483</v>
      </c>
      <c r="DO754" s="1296">
        <f>CP753+CU753+CZ753+DE753+DJ753+DO753</f>
        <v>52</v>
      </c>
      <c r="DP754" s="1297"/>
      <c r="DQ754" s="1297"/>
      <c r="DR754" s="1297"/>
      <c r="DS754" s="1298"/>
      <c r="DT754" s="1151"/>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57"/>
      <c r="C755" s="1657"/>
      <c r="D755" s="1657"/>
      <c r="E755" s="1657"/>
      <c r="F755" s="1657"/>
      <c r="G755" s="1657"/>
      <c r="H755" s="1657"/>
      <c r="I755" s="1657"/>
      <c r="J755" s="1657"/>
      <c r="K755" s="1657"/>
      <c r="L755" s="1657"/>
      <c r="M755" s="1657"/>
      <c r="N755" s="1657"/>
      <c r="O755" s="1657"/>
      <c r="P755" s="1657"/>
      <c r="Q755" s="1657"/>
      <c r="R755" s="1657"/>
      <c r="S755" s="1657"/>
      <c r="T755" s="1657"/>
      <c r="U755" s="1657"/>
      <c r="V755" s="1657"/>
      <c r="W755" s="1657"/>
      <c r="X755" s="1657"/>
      <c r="Y755" s="1657"/>
      <c r="Z755" s="1657"/>
      <c r="AA755" s="1657"/>
      <c r="AB755" s="1657"/>
      <c r="AC755" s="1657"/>
      <c r="AD755" s="1657"/>
      <c r="AE755" s="1657"/>
      <c r="AF755" s="1657"/>
      <c r="AG755" s="1657"/>
      <c r="AH755" s="1657"/>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3">
        <f>CP753*1</f>
        <v>0</v>
      </c>
      <c r="CU755" s="2"/>
      <c r="CV755" s="2"/>
      <c r="CW755" s="2"/>
      <c r="CX755" s="2"/>
      <c r="CY755" s="683">
        <f>CU753*1</f>
        <v>6</v>
      </c>
      <c r="CZ755" s="2"/>
      <c r="DA755" s="2"/>
      <c r="DB755" s="2"/>
      <c r="DC755" s="2"/>
      <c r="DD755" s="683">
        <f>CZ753*2</f>
        <v>48</v>
      </c>
      <c r="DE755" s="2"/>
      <c r="DF755" s="2"/>
      <c r="DG755" s="2"/>
      <c r="DH755" s="2"/>
      <c r="DI755" s="683">
        <f>DE753*3</f>
        <v>66</v>
      </c>
      <c r="DJ755" s="2"/>
      <c r="DK755" s="2"/>
      <c r="DL755" s="2"/>
      <c r="DM755" s="2"/>
      <c r="DN755" s="683">
        <f>DJ753*4</f>
        <v>0</v>
      </c>
      <c r="DO755" s="2"/>
      <c r="DP755" s="2"/>
      <c r="DQ755" s="2"/>
      <c r="DR755" s="2"/>
      <c r="DS755" s="683">
        <f>DO753*5</f>
        <v>0</v>
      </c>
      <c r="DU755" s="683">
        <f>CT755+CY755+DD755+DI755+DN755+DS755</f>
        <v>120</v>
      </c>
      <c r="DV755" s="38" t="s">
        <v>1484</v>
      </c>
      <c r="DW755" s="2"/>
      <c r="DX755" s="2"/>
      <c r="DY755" s="2"/>
      <c r="DZ755" s="2"/>
      <c r="EA755" s="2"/>
      <c r="EB755" s="2"/>
      <c r="EC755" s="2"/>
      <c r="ED755" s="2"/>
      <c r="EE755" s="2"/>
      <c r="EF755" s="2"/>
      <c r="EG755" s="2"/>
      <c r="EH755" s="2"/>
    </row>
    <row r="756" spans="1:185" ht="13" customHeight="1">
      <c r="A756" s="2"/>
      <c r="B756" s="2"/>
      <c r="C756" s="68" t="s">
        <v>1485</v>
      </c>
      <c r="D756" s="819"/>
      <c r="E756" s="819"/>
      <c r="F756" s="819"/>
      <c r="G756" s="820"/>
      <c r="H756" s="820"/>
      <c r="I756" s="820"/>
      <c r="J756" s="820"/>
      <c r="K756" s="819"/>
      <c r="L756" s="819"/>
      <c r="M756" s="819"/>
      <c r="N756" s="819"/>
      <c r="O756" s="1322">
        <f>DU755</f>
        <v>120</v>
      </c>
      <c r="P756" s="1322"/>
      <c r="Q756" s="1322"/>
      <c r="R756" s="1322"/>
      <c r="S756" s="770"/>
      <c r="T756" s="770"/>
      <c r="U756" s="68" t="s">
        <v>1486</v>
      </c>
      <c r="V756" s="819"/>
      <c r="W756" s="819"/>
      <c r="X756" s="819"/>
      <c r="Y756" s="820"/>
      <c r="Z756" s="820"/>
      <c r="AA756" s="820"/>
      <c r="AB756" s="820"/>
      <c r="AC756" s="819"/>
      <c r="AD756" s="819"/>
      <c r="AE756" s="819"/>
      <c r="AF756" s="819"/>
      <c r="AG756" s="1649"/>
      <c r="AH756" s="1649"/>
      <c r="AI756" s="1649"/>
      <c r="AJ756" s="1649"/>
      <c r="AK756" s="2"/>
      <c r="AL756" s="2"/>
      <c r="AM756" s="2"/>
      <c r="AN756" s="2"/>
      <c r="AO756" s="2"/>
      <c r="AP756" s="2"/>
      <c r="AQ756" s="2"/>
      <c r="AR756" s="2"/>
      <c r="AS756" s="2"/>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FB756" s="175"/>
      <c r="FC756" s="175"/>
    </row>
    <row r="757" spans="1:185" ht="13" customHeight="1">
      <c r="B757" s="38"/>
      <c r="C757" s="1785" t="str">
        <f>IF(G753&lt;&gt;AG440,"! Total Low-Income Units in the Unit Mix Table above does not match the number of Total Low-Income Units on row #"&amp;TEXT(ROW(D440),"#"),"")</f>
        <v/>
      </c>
      <c r="D757" s="1785"/>
      <c r="E757" s="1785"/>
      <c r="F757" s="1785"/>
      <c r="G757" s="1785"/>
      <c r="H757" s="1785"/>
      <c r="I757" s="1785"/>
      <c r="J757" s="1785"/>
      <c r="K757" s="1785"/>
      <c r="L757" s="1785"/>
      <c r="M757" s="1785"/>
      <c r="N757" s="1785"/>
      <c r="O757" s="1785"/>
      <c r="P757" s="1785"/>
      <c r="Q757" s="1785"/>
      <c r="R757" s="1785"/>
      <c r="S757" s="1785"/>
      <c r="T757" s="1785"/>
      <c r="U757" s="1785"/>
      <c r="V757" s="1785"/>
      <c r="W757" s="1785"/>
      <c r="X757" s="1785"/>
      <c r="Y757" s="1785"/>
      <c r="Z757" s="1785"/>
      <c r="AA757" s="1785"/>
      <c r="AB757" s="1785"/>
      <c r="AC757" s="1785"/>
      <c r="AD757" s="1785"/>
      <c r="AE757" s="1785"/>
      <c r="AF757" s="1785"/>
      <c r="AG757" s="1785"/>
      <c r="AH757" s="1785"/>
      <c r="AI757" s="1785"/>
      <c r="AJ757" s="1785"/>
      <c r="AK757" s="1785"/>
      <c r="AL757" s="1785"/>
      <c r="AM757" s="1785"/>
      <c r="AP757" s="175"/>
      <c r="AQ757" s="175"/>
      <c r="AR757" s="175"/>
      <c r="AS757" s="17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3" customHeight="1">
      <c r="B758" s="38"/>
      <c r="C758" s="1785"/>
      <c r="D758" s="1785"/>
      <c r="E758" s="1785"/>
      <c r="F758" s="1785"/>
      <c r="G758" s="1785"/>
      <c r="H758" s="1785"/>
      <c r="I758" s="1785"/>
      <c r="J758" s="1785"/>
      <c r="K758" s="1785"/>
      <c r="L758" s="1785"/>
      <c r="M758" s="1785"/>
      <c r="N758" s="1785"/>
      <c r="O758" s="1785"/>
      <c r="P758" s="1785"/>
      <c r="Q758" s="1785"/>
      <c r="R758" s="1785"/>
      <c r="S758" s="1785"/>
      <c r="T758" s="1785"/>
      <c r="U758" s="1785"/>
      <c r="V758" s="1785"/>
      <c r="W758" s="1785"/>
      <c r="X758" s="1785"/>
      <c r="Y758" s="1785"/>
      <c r="Z758" s="1785"/>
      <c r="AA758" s="1785"/>
      <c r="AB758" s="1785"/>
      <c r="AC758" s="1785"/>
      <c r="AD758" s="1785"/>
      <c r="AE758" s="1785"/>
      <c r="AF758" s="1785"/>
      <c r="AG758" s="1785"/>
      <c r="AH758" s="1785"/>
      <c r="AI758" s="1785"/>
      <c r="AJ758" s="1785"/>
      <c r="AK758" s="1785"/>
      <c r="AL758" s="1785"/>
      <c r="AM758" s="1785"/>
      <c r="AP758" s="175"/>
      <c r="AQ758" s="175"/>
      <c r="AR758" s="175"/>
      <c r="AS758" s="17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3" customHeight="1">
      <c r="B759" s="2"/>
      <c r="C759" s="68" t="s">
        <v>1487</v>
      </c>
      <c r="D759" s="821"/>
      <c r="E759" s="821"/>
      <c r="F759" s="821"/>
      <c r="G759" s="821"/>
      <c r="H759" s="821"/>
      <c r="I759" s="821"/>
      <c r="J759" s="821"/>
      <c r="K759" s="821"/>
      <c r="L759" s="821"/>
      <c r="M759" s="821"/>
      <c r="N759" s="821"/>
      <c r="O759" s="821"/>
      <c r="P759" s="821"/>
      <c r="Q759" s="821"/>
      <c r="R759" s="821"/>
      <c r="S759" s="821"/>
      <c r="T759" s="821"/>
      <c r="U759" s="821"/>
      <c r="V759" s="821"/>
      <c r="W759" s="821"/>
      <c r="X759" s="821"/>
      <c r="Y759" s="821"/>
      <c r="Z759" s="821"/>
      <c r="AA759" s="821"/>
      <c r="AB759" s="821"/>
      <c r="AC759" s="821"/>
      <c r="AD759" s="1656" t="s">
        <v>798</v>
      </c>
      <c r="AE759" s="1656"/>
      <c r="AF759" s="1656"/>
      <c r="AG759" s="821"/>
      <c r="AH759" s="821"/>
      <c r="AI759" s="821"/>
      <c r="AJ759" s="821"/>
      <c r="AK759" s="821"/>
      <c r="AL759" s="821"/>
      <c r="AM759" s="821"/>
      <c r="AN759" s="821"/>
      <c r="AO759" s="821"/>
      <c r="AP759" s="821"/>
      <c r="AQ759" s="821"/>
      <c r="AR759" s="82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3" customHeight="1">
      <c r="C760" s="822" t="s">
        <v>1488</v>
      </c>
      <c r="D760" s="821"/>
      <c r="E760" s="821"/>
      <c r="F760" s="821"/>
      <c r="G760" s="821"/>
      <c r="H760" s="821"/>
      <c r="I760" s="821"/>
      <c r="J760" s="821"/>
      <c r="K760" s="821"/>
      <c r="L760" s="821"/>
      <c r="M760" s="821"/>
      <c r="N760" s="821"/>
      <c r="O760" s="821"/>
      <c r="P760" s="821"/>
      <c r="Q760" s="821"/>
      <c r="R760" s="821"/>
      <c r="S760" s="821"/>
      <c r="T760" s="821"/>
      <c r="U760" s="821"/>
      <c r="V760" s="821"/>
      <c r="W760" s="821"/>
      <c r="X760" s="821"/>
      <c r="Y760" s="821"/>
      <c r="Z760" s="821"/>
      <c r="AA760" s="821"/>
      <c r="AB760" s="821"/>
      <c r="AC760" s="821"/>
      <c r="AD760" s="821"/>
      <c r="AE760" s="821"/>
      <c r="AF760" s="821"/>
      <c r="AG760" s="821"/>
      <c r="AH760" s="821"/>
      <c r="AI760" s="821"/>
      <c r="AJ760" s="821"/>
      <c r="AK760" s="821"/>
      <c r="AL760" s="821"/>
      <c r="AM760" s="821"/>
      <c r="AN760" s="821"/>
      <c r="AO760" s="821"/>
      <c r="AP760" s="821"/>
      <c r="AQ760" s="821"/>
      <c r="AR760" s="82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3" customHeight="1">
      <c r="A761" s="1" t="s">
        <v>913</v>
      </c>
      <c r="B761" s="37"/>
      <c r="C761" s="38" t="s">
        <v>1489</v>
      </c>
      <c r="D761" s="37"/>
      <c r="E761" s="37"/>
      <c r="F761" s="37"/>
      <c r="G761" s="1151"/>
      <c r="H761" s="1151"/>
      <c r="I761" s="1151"/>
      <c r="J761" s="1151"/>
      <c r="K761" s="1151"/>
      <c r="L761" s="37"/>
      <c r="M761" s="37"/>
      <c r="N761" s="37"/>
      <c r="O761" s="37"/>
      <c r="P761" s="37"/>
      <c r="Q761" s="1151"/>
      <c r="R761" s="1151"/>
      <c r="S761" s="1151"/>
      <c r="T761" s="1151"/>
      <c r="U761" s="1151"/>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3" customHeight="1">
      <c r="A762" s="2"/>
      <c r="B762" s="819"/>
      <c r="C762" s="68" t="s">
        <v>1490</v>
      </c>
      <c r="D762" s="819"/>
      <c r="E762" s="819"/>
      <c r="F762" s="819"/>
      <c r="G762" s="1151"/>
      <c r="H762" s="1151"/>
      <c r="I762" s="1151"/>
      <c r="J762" s="1151"/>
      <c r="K762" s="1151"/>
      <c r="L762" s="819"/>
      <c r="M762" s="819"/>
      <c r="N762" s="819"/>
      <c r="O762" s="819"/>
      <c r="P762" s="819"/>
      <c r="Q762" s="1151"/>
      <c r="R762" s="1151"/>
      <c r="S762" s="1151"/>
      <c r="T762" s="1151"/>
      <c r="U762" s="1151"/>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3" customHeight="1">
      <c r="A763" s="2"/>
      <c r="B763" s="819"/>
      <c r="C763" s="1227" t="s">
        <v>1491</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3" customHeight="1">
      <c r="A764" s="2"/>
      <c r="B764" s="819"/>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3" customHeight="1">
      <c r="A765" s="2"/>
      <c r="B765" s="819"/>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3" customHeight="1">
      <c r="A766" s="2"/>
      <c r="B766" s="819"/>
      <c r="C766" s="1227" t="s">
        <v>1492</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row>
    <row r="767" spans="1:185" ht="13" customHeight="1">
      <c r="A767" s="2"/>
      <c r="B767" s="819"/>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3" customHeight="1">
      <c r="A768" s="2"/>
      <c r="B768" s="819"/>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3" customHeight="1">
      <c r="J769" s="1445" t="s">
        <v>1458</v>
      </c>
      <c r="K769" s="1446"/>
      <c r="L769" s="1446"/>
      <c r="M769" s="1446"/>
      <c r="N769" s="1447"/>
      <c r="O769" s="1543" t="s">
        <v>1459</v>
      </c>
      <c r="P769" s="1543"/>
      <c r="Q769" s="1543"/>
      <c r="R769" s="1543"/>
      <c r="S769" s="1543"/>
      <c r="T769" s="1461" t="s">
        <v>1460</v>
      </c>
      <c r="U769" s="1462"/>
      <c r="V769" s="1462"/>
      <c r="W769" s="1463"/>
      <c r="X769" s="1445" t="s">
        <v>1461</v>
      </c>
      <c r="Y769" s="1446"/>
      <c r="Z769" s="1446"/>
      <c r="AA769" s="1446"/>
      <c r="AB769" s="1447"/>
      <c r="AC769" s="1445" t="s">
        <v>1493</v>
      </c>
      <c r="AD769" s="1446"/>
      <c r="AE769" s="1446"/>
      <c r="AF769" s="1446"/>
      <c r="AG769" s="1447"/>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3" customHeight="1">
      <c r="J770" s="1448"/>
      <c r="K770" s="1449"/>
      <c r="L770" s="1449"/>
      <c r="M770" s="1449"/>
      <c r="N770" s="1450"/>
      <c r="O770" s="1543"/>
      <c r="P770" s="1543"/>
      <c r="Q770" s="1543"/>
      <c r="R770" s="1543"/>
      <c r="S770" s="1543"/>
      <c r="T770" s="1464"/>
      <c r="U770" s="1465"/>
      <c r="V770" s="1465"/>
      <c r="W770" s="1466"/>
      <c r="X770" s="1448"/>
      <c r="Y770" s="1449"/>
      <c r="Z770" s="1449"/>
      <c r="AA770" s="1449"/>
      <c r="AB770" s="1450"/>
      <c r="AC770" s="1448"/>
      <c r="AD770" s="1449"/>
      <c r="AE770" s="1449"/>
      <c r="AF770" s="1449"/>
      <c r="AG770" s="1450"/>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3" customHeight="1">
      <c r="J771" s="1448"/>
      <c r="K771" s="1449"/>
      <c r="L771" s="1449"/>
      <c r="M771" s="1449"/>
      <c r="N771" s="1450"/>
      <c r="O771" s="1543"/>
      <c r="P771" s="1543"/>
      <c r="Q771" s="1543"/>
      <c r="R771" s="1543"/>
      <c r="S771" s="1543"/>
      <c r="T771" s="1464"/>
      <c r="U771" s="1465"/>
      <c r="V771" s="1465"/>
      <c r="W771" s="1466"/>
      <c r="X771" s="1448"/>
      <c r="Y771" s="1449"/>
      <c r="Z771" s="1449"/>
      <c r="AA771" s="1449"/>
      <c r="AB771" s="1450"/>
      <c r="AC771" s="1448"/>
      <c r="AD771" s="1449"/>
      <c r="AE771" s="1449"/>
      <c r="AF771" s="1449"/>
      <c r="AG771" s="1450"/>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3" customHeight="1">
      <c r="J772" s="1451"/>
      <c r="K772" s="1452"/>
      <c r="L772" s="1452"/>
      <c r="M772" s="1452"/>
      <c r="N772" s="1453"/>
      <c r="O772" s="1543"/>
      <c r="P772" s="1543"/>
      <c r="Q772" s="1543"/>
      <c r="R772" s="1543"/>
      <c r="S772" s="1543"/>
      <c r="T772" s="1551"/>
      <c r="U772" s="1552"/>
      <c r="V772" s="1552"/>
      <c r="W772" s="1553"/>
      <c r="X772" s="1451"/>
      <c r="Y772" s="1452"/>
      <c r="Z772" s="1452"/>
      <c r="AA772" s="1452"/>
      <c r="AB772" s="1453"/>
      <c r="AC772" s="1451"/>
      <c r="AD772" s="1452"/>
      <c r="AE772" s="1452"/>
      <c r="AF772" s="1452"/>
      <c r="AG772" s="1453"/>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1494</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51"/>
      <c r="DU772" s="2"/>
      <c r="DV772" s="2"/>
    </row>
    <row r="773" spans="1:126" ht="13" customHeight="1">
      <c r="J773" s="1310" t="s">
        <v>834</v>
      </c>
      <c r="K773" s="1311"/>
      <c r="L773" s="1311"/>
      <c r="M773" s="1311"/>
      <c r="N773" s="1312"/>
      <c r="O773" s="1416">
        <v>1</v>
      </c>
      <c r="P773" s="1416"/>
      <c r="Q773" s="1416"/>
      <c r="R773" s="1416"/>
      <c r="S773" s="1416"/>
      <c r="T773" s="1545">
        <v>930</v>
      </c>
      <c r="U773" s="1546"/>
      <c r="V773" s="1546"/>
      <c r="W773" s="1547"/>
      <c r="X773" s="1420">
        <v>0</v>
      </c>
      <c r="Y773" s="1421"/>
      <c r="Z773" s="1421"/>
      <c r="AA773" s="1421"/>
      <c r="AB773" s="1422"/>
      <c r="AC773" s="1313">
        <f>X773*O773</f>
        <v>0</v>
      </c>
      <c r="AD773" s="1314"/>
      <c r="AE773" s="1314"/>
      <c r="AF773" s="1314"/>
      <c r="AG773" s="1315"/>
      <c r="AH773" s="1054"/>
      <c r="AI773" s="69"/>
      <c r="AJ773" s="69"/>
      <c r="AK773" s="1054"/>
      <c r="AL773" s="105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3">
        <f>IF(J773="SRO/Studio",O773,0)</f>
        <v>0</v>
      </c>
      <c r="CQ773" s="1294"/>
      <c r="CR773" s="1294"/>
      <c r="CS773" s="1294"/>
      <c r="CT773" s="1295"/>
      <c r="CU773" s="1309">
        <f>IF(J773="1 Bedroom",O773,0)</f>
        <v>0</v>
      </c>
      <c r="CV773" s="1309"/>
      <c r="CW773" s="1309"/>
      <c r="CX773" s="1309"/>
      <c r="CY773" s="1309"/>
      <c r="CZ773" s="1309">
        <f>IF(J773="2 Bedrooms",O773,0)</f>
        <v>0</v>
      </c>
      <c r="DA773" s="1309"/>
      <c r="DB773" s="1309"/>
      <c r="DC773" s="1309"/>
      <c r="DD773" s="1309"/>
      <c r="DE773" s="1309">
        <f>IF(J773="3 Bedrooms",O773,0)</f>
        <v>1</v>
      </c>
      <c r="DF773" s="1309"/>
      <c r="DG773" s="1309"/>
      <c r="DH773" s="1309"/>
      <c r="DI773" s="1309"/>
      <c r="DJ773" s="1309">
        <f>IF(J773="4 Bedrooms",O773,0)</f>
        <v>0</v>
      </c>
      <c r="DK773" s="1309"/>
      <c r="DL773" s="1309"/>
      <c r="DM773" s="1309"/>
      <c r="DN773" s="1309"/>
      <c r="DO773" s="1309">
        <f>IF(J773="5 Bedrooms",O773,0)</f>
        <v>0</v>
      </c>
      <c r="DP773" s="1309"/>
      <c r="DQ773" s="1309"/>
      <c r="DR773" s="1309"/>
      <c r="DS773" s="1309"/>
      <c r="DT773" s="1151"/>
      <c r="DU773" s="2"/>
      <c r="DV773" s="2"/>
    </row>
    <row r="774" spans="1:126" ht="13" customHeight="1">
      <c r="J774" s="1310"/>
      <c r="K774" s="1311"/>
      <c r="L774" s="1311"/>
      <c r="M774" s="1311"/>
      <c r="N774" s="1312"/>
      <c r="O774" s="1416"/>
      <c r="P774" s="1416"/>
      <c r="Q774" s="1416"/>
      <c r="R774" s="1416"/>
      <c r="S774" s="1416"/>
      <c r="T774" s="1545"/>
      <c r="U774" s="1546"/>
      <c r="V774" s="1546"/>
      <c r="W774" s="1547"/>
      <c r="X774" s="1420"/>
      <c r="Y774" s="1421"/>
      <c r="Z774" s="1421"/>
      <c r="AA774" s="1421"/>
      <c r="AB774" s="1422"/>
      <c r="AC774" s="1313">
        <f>X774*O774</f>
        <v>0</v>
      </c>
      <c r="AD774" s="1314"/>
      <c r="AE774" s="1314"/>
      <c r="AF774" s="1314"/>
      <c r="AG774" s="1315"/>
      <c r="AH774" s="1054"/>
      <c r="AI774" s="1054"/>
      <c r="AJ774" s="1054"/>
      <c r="AK774" s="1054"/>
      <c r="AL774" s="105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3">
        <f>IF(J774="SRO/Studio",O774,0)</f>
        <v>0</v>
      </c>
      <c r="CQ774" s="1294"/>
      <c r="CR774" s="1294"/>
      <c r="CS774" s="1294"/>
      <c r="CT774" s="1295"/>
      <c r="CU774" s="1309">
        <f>IF(J774="1 Bedroom",O774,0)</f>
        <v>0</v>
      </c>
      <c r="CV774" s="1309"/>
      <c r="CW774" s="1309"/>
      <c r="CX774" s="1309"/>
      <c r="CY774" s="1309"/>
      <c r="CZ774" s="1309">
        <f>IF(J774="2 Bedrooms",O774,0)</f>
        <v>0</v>
      </c>
      <c r="DA774" s="1309"/>
      <c r="DB774" s="1309"/>
      <c r="DC774" s="1309"/>
      <c r="DD774" s="1309"/>
      <c r="DE774" s="1309">
        <f>IF(J774="3 Bedrooms",O774,0)</f>
        <v>0</v>
      </c>
      <c r="DF774" s="1309"/>
      <c r="DG774" s="1309"/>
      <c r="DH774" s="1309"/>
      <c r="DI774" s="1309"/>
      <c r="DJ774" s="1309">
        <f>IF(J774="4 Bedrooms",O774,0)</f>
        <v>0</v>
      </c>
      <c r="DK774" s="1309"/>
      <c r="DL774" s="1309"/>
      <c r="DM774" s="1309"/>
      <c r="DN774" s="1309"/>
      <c r="DO774" s="1309">
        <f>IF(J774="5 Bedrooms",O774,0)</f>
        <v>0</v>
      </c>
      <c r="DP774" s="1309"/>
      <c r="DQ774" s="1309"/>
      <c r="DR774" s="1309"/>
      <c r="DS774" s="1309"/>
      <c r="DT774" s="1151"/>
      <c r="DU774" s="2"/>
      <c r="DV774" s="2"/>
    </row>
    <row r="775" spans="1:126" ht="13" customHeight="1">
      <c r="J775" s="1310"/>
      <c r="K775" s="1311"/>
      <c r="L775" s="1311"/>
      <c r="M775" s="1311"/>
      <c r="N775" s="1312"/>
      <c r="O775" s="1416"/>
      <c r="P775" s="1416"/>
      <c r="Q775" s="1416"/>
      <c r="R775" s="1416"/>
      <c r="S775" s="1416"/>
      <c r="T775" s="1545"/>
      <c r="U775" s="1546"/>
      <c r="V775" s="1546"/>
      <c r="W775" s="1547"/>
      <c r="X775" s="1420"/>
      <c r="Y775" s="1421"/>
      <c r="Z775" s="1421"/>
      <c r="AA775" s="1421"/>
      <c r="AB775" s="1422"/>
      <c r="AC775" s="1313">
        <f>X775*O775</f>
        <v>0</v>
      </c>
      <c r="AD775" s="1314"/>
      <c r="AE775" s="1314"/>
      <c r="AF775" s="1314"/>
      <c r="AG775" s="1315"/>
      <c r="AH775" s="1054"/>
      <c r="AI775" s="1054"/>
      <c r="AJ775" s="1054"/>
      <c r="AK775" s="1054"/>
      <c r="AL775" s="105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3">
        <f>IF(J775="SRO/Studio",O775,0)</f>
        <v>0</v>
      </c>
      <c r="CQ775" s="1294"/>
      <c r="CR775" s="1294"/>
      <c r="CS775" s="1294"/>
      <c r="CT775" s="1295"/>
      <c r="CU775" s="1309">
        <f>IF(J775="1 Bedroom",O775,0)</f>
        <v>0</v>
      </c>
      <c r="CV775" s="1309"/>
      <c r="CW775" s="1309"/>
      <c r="CX775" s="1309"/>
      <c r="CY775" s="1309"/>
      <c r="CZ775" s="1309">
        <f>IF(J775="2 Bedrooms",O775,0)</f>
        <v>0</v>
      </c>
      <c r="DA775" s="1309"/>
      <c r="DB775" s="1309"/>
      <c r="DC775" s="1309"/>
      <c r="DD775" s="1309"/>
      <c r="DE775" s="1309">
        <f>IF(J775="3 Bedrooms",O775,0)</f>
        <v>0</v>
      </c>
      <c r="DF775" s="1309"/>
      <c r="DG775" s="1309"/>
      <c r="DH775" s="1309"/>
      <c r="DI775" s="1309"/>
      <c r="DJ775" s="1309">
        <f>IF(J775="4 Bedrooms",O775,0)</f>
        <v>0</v>
      </c>
      <c r="DK775" s="1309"/>
      <c r="DL775" s="1309"/>
      <c r="DM775" s="1309"/>
      <c r="DN775" s="1309"/>
      <c r="DO775" s="1309">
        <f>IF(J775="5 Bedrooms",O775,0)</f>
        <v>0</v>
      </c>
      <c r="DP775" s="1309"/>
      <c r="DQ775" s="1309"/>
      <c r="DR775" s="1309"/>
      <c r="DS775" s="1309"/>
      <c r="DT775" s="1151"/>
    </row>
    <row r="776" spans="1:126" ht="13" customHeight="1">
      <c r="J776" s="1310"/>
      <c r="K776" s="1311"/>
      <c r="L776" s="1311"/>
      <c r="M776" s="1311"/>
      <c r="N776" s="1312"/>
      <c r="O776" s="1416"/>
      <c r="P776" s="1416"/>
      <c r="Q776" s="1416"/>
      <c r="R776" s="1416"/>
      <c r="S776" s="1416"/>
      <c r="T776" s="1545"/>
      <c r="U776" s="1546"/>
      <c r="V776" s="1546"/>
      <c r="W776" s="1547"/>
      <c r="X776" s="1420"/>
      <c r="Y776" s="1421"/>
      <c r="Z776" s="1421"/>
      <c r="AA776" s="1421"/>
      <c r="AB776" s="1422"/>
      <c r="AC776" s="1313">
        <f>X776*O776</f>
        <v>0</v>
      </c>
      <c r="AD776" s="1314"/>
      <c r="AE776" s="1314"/>
      <c r="AF776" s="1314"/>
      <c r="AG776" s="1315"/>
      <c r="AH776" s="1054"/>
      <c r="AI776" s="1054"/>
      <c r="AJ776" s="1054"/>
      <c r="AK776" s="1054"/>
      <c r="AL776" s="105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3">
        <f>IF(J776="SRO/Studio",O776,0)</f>
        <v>0</v>
      </c>
      <c r="CQ776" s="1294"/>
      <c r="CR776" s="1294"/>
      <c r="CS776" s="1294"/>
      <c r="CT776" s="1295"/>
      <c r="CU776" s="1309">
        <f>IF(J776="1 Bedroom",O776,0)</f>
        <v>0</v>
      </c>
      <c r="CV776" s="1309"/>
      <c r="CW776" s="1309"/>
      <c r="CX776" s="1309"/>
      <c r="CY776" s="1309"/>
      <c r="CZ776" s="1309">
        <f>IF(J776="2 Bedrooms",O776,0)</f>
        <v>0</v>
      </c>
      <c r="DA776" s="1309"/>
      <c r="DB776" s="1309"/>
      <c r="DC776" s="1309"/>
      <c r="DD776" s="1309"/>
      <c r="DE776" s="1309">
        <f>IF(J776="3 Bedrooms",O776,0)</f>
        <v>0</v>
      </c>
      <c r="DF776" s="1309"/>
      <c r="DG776" s="1309"/>
      <c r="DH776" s="1309"/>
      <c r="DI776" s="1309"/>
      <c r="DJ776" s="1309">
        <f>IF(J776="4 Bedrooms",O776,0)</f>
        <v>0</v>
      </c>
      <c r="DK776" s="1309"/>
      <c r="DL776" s="1309"/>
      <c r="DM776" s="1309"/>
      <c r="DN776" s="1309"/>
      <c r="DO776" s="1309">
        <f>IF(J776="5 Bedrooms",O776,0)</f>
        <v>0</v>
      </c>
      <c r="DP776" s="1309"/>
      <c r="DQ776" s="1309"/>
      <c r="DR776" s="1309"/>
      <c r="DS776" s="1309"/>
    </row>
    <row r="777" spans="1:126" ht="13" customHeight="1">
      <c r="J777" s="1360" t="s">
        <v>1478</v>
      </c>
      <c r="K777" s="1361"/>
      <c r="L777" s="1361"/>
      <c r="M777" s="1361"/>
      <c r="N777" s="1363"/>
      <c r="O777" s="1296">
        <f>SUM(O773:S776)</f>
        <v>1</v>
      </c>
      <c r="P777" s="1297"/>
      <c r="Q777" s="1297"/>
      <c r="R777" s="1297"/>
      <c r="S777" s="1298"/>
      <c r="X777" s="1360" t="s">
        <v>1479</v>
      </c>
      <c r="Y777" s="1361"/>
      <c r="Z777" s="1361"/>
      <c r="AA777" s="1361"/>
      <c r="AB777" s="1363"/>
      <c r="AC777" s="1313">
        <f>SUM(AC773:AG776)</f>
        <v>0</v>
      </c>
      <c r="AD777" s="1314"/>
      <c r="AE777" s="1314"/>
      <c r="AF777" s="1314"/>
      <c r="AG777" s="1315"/>
      <c r="AI777" s="1054"/>
      <c r="AJ777" s="105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6">
        <f>SUM(CP773:CT776)</f>
        <v>0</v>
      </c>
      <c r="CQ777" s="1297"/>
      <c r="CR777" s="1297"/>
      <c r="CS777" s="1297"/>
      <c r="CT777" s="1298"/>
      <c r="CU777" s="1296">
        <f>SUM(CU773:CY776)</f>
        <v>0</v>
      </c>
      <c r="CV777" s="1297"/>
      <c r="CW777" s="1297"/>
      <c r="CX777" s="1297"/>
      <c r="CY777" s="1298"/>
      <c r="CZ777" s="1296">
        <f>SUM(CZ773:DD776)</f>
        <v>0</v>
      </c>
      <c r="DA777" s="1297"/>
      <c r="DB777" s="1297"/>
      <c r="DC777" s="1297"/>
      <c r="DD777" s="1298"/>
      <c r="DE777" s="1296">
        <f>SUM(DE773:DI776)</f>
        <v>1</v>
      </c>
      <c r="DF777" s="1297"/>
      <c r="DG777" s="1297"/>
      <c r="DH777" s="1297"/>
      <c r="DI777" s="1298"/>
      <c r="DJ777" s="1296">
        <f>SUM(DJ773:DN776)</f>
        <v>0</v>
      </c>
      <c r="DK777" s="1297"/>
      <c r="DL777" s="1297"/>
      <c r="DM777" s="1297"/>
      <c r="DN777" s="1298"/>
      <c r="DO777" s="1296">
        <f>SUM(DO773:DS776)</f>
        <v>0</v>
      </c>
      <c r="DP777" s="1297"/>
      <c r="DQ777" s="1297"/>
      <c r="DR777" s="1297"/>
      <c r="DS777" s="1298"/>
      <c r="DU777" s="683">
        <f>CP777+CU777+CZ777+DE777+DJ777+DO777</f>
        <v>1</v>
      </c>
      <c r="DV777" s="38" t="s">
        <v>1495</v>
      </c>
    </row>
    <row r="778" spans="1:126" ht="13" customHeight="1">
      <c r="J778" s="37"/>
      <c r="K778" s="37"/>
      <c r="L778" s="37"/>
      <c r="M778" s="37"/>
      <c r="N778" s="37"/>
      <c r="O778" s="1151"/>
      <c r="P778" s="1151"/>
      <c r="Q778" s="1151"/>
      <c r="R778" s="1151"/>
      <c r="S778" s="1151"/>
      <c r="T778" s="37"/>
      <c r="U778" s="37"/>
      <c r="V778" s="37"/>
      <c r="W778" s="37"/>
      <c r="X778" s="37"/>
      <c r="Y778" s="770"/>
      <c r="Z778" s="1146"/>
      <c r="AA778" s="1146"/>
      <c r="AB778" s="1146"/>
      <c r="AC778" s="114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3">
        <f>CP777*1</f>
        <v>0</v>
      </c>
      <c r="CU778" s="2"/>
      <c r="CV778" s="2"/>
      <c r="CW778" s="2"/>
      <c r="CX778" s="2"/>
      <c r="CY778" s="683">
        <f>CU777*1</f>
        <v>0</v>
      </c>
      <c r="CZ778" s="2"/>
      <c r="DA778" s="2"/>
      <c r="DB778" s="2"/>
      <c r="DC778" s="2"/>
      <c r="DD778" s="683">
        <f>CZ777*2</f>
        <v>0</v>
      </c>
      <c r="DE778" s="2"/>
      <c r="DF778" s="2"/>
      <c r="DG778" s="2"/>
      <c r="DH778" s="2"/>
      <c r="DI778" s="683">
        <f>DE777*3</f>
        <v>3</v>
      </c>
      <c r="DJ778" s="2"/>
      <c r="DK778" s="2"/>
      <c r="DL778" s="2"/>
      <c r="DM778" s="2"/>
      <c r="DN778" s="683">
        <f>DJ777*4</f>
        <v>0</v>
      </c>
      <c r="DO778" s="2"/>
      <c r="DP778" s="2"/>
      <c r="DQ778" s="2"/>
      <c r="DR778" s="2"/>
      <c r="DS778" s="683">
        <f>DO777*5</f>
        <v>0</v>
      </c>
      <c r="DU778" s="683">
        <f>CT778+CY778+DD778+DI778+DN778+DS778</f>
        <v>3</v>
      </c>
      <c r="DV778" s="38" t="s">
        <v>1496</v>
      </c>
    </row>
    <row r="779" spans="1:126" ht="13" customHeight="1">
      <c r="B779" s="37"/>
      <c r="C779" s="37"/>
      <c r="D779" s="37"/>
      <c r="E779" s="37"/>
      <c r="F779" s="37"/>
      <c r="G779" s="1151"/>
      <c r="H779" s="1151"/>
      <c r="I779" s="1151"/>
      <c r="J779" s="1344" t="s">
        <v>694</v>
      </c>
      <c r="K779" s="1344"/>
      <c r="L779" s="37"/>
      <c r="M779" s="68" t="s">
        <v>1497</v>
      </c>
      <c r="N779" s="37"/>
      <c r="O779" s="37"/>
      <c r="P779" s="37"/>
      <c r="Q779" s="1151"/>
      <c r="R779" s="1151"/>
      <c r="S779" s="1151"/>
      <c r="T779" s="1151"/>
      <c r="U779" s="1151"/>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3" customHeight="1">
      <c r="B780" s="37"/>
      <c r="C780" s="37"/>
      <c r="D780" s="37"/>
      <c r="E780" s="37"/>
      <c r="F780" s="37"/>
      <c r="G780" s="1151"/>
      <c r="H780" s="1151"/>
      <c r="I780" s="1151"/>
      <c r="J780" s="1151"/>
      <c r="K780" s="1151"/>
      <c r="L780" s="37"/>
      <c r="M780" s="68" t="s">
        <v>1498</v>
      </c>
      <c r="N780" s="37"/>
      <c r="O780" s="37"/>
      <c r="P780" s="37"/>
      <c r="Q780" s="1151"/>
      <c r="R780" s="1151"/>
      <c r="S780" s="1151"/>
      <c r="T780" s="1151"/>
      <c r="U780" s="1151"/>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3" customHeight="1">
      <c r="A781" s="1" t="s">
        <v>992</v>
      </c>
      <c r="B781" s="38"/>
      <c r="C781" s="38" t="s">
        <v>209</v>
      </c>
      <c r="D781" s="37"/>
      <c r="E781" s="37"/>
      <c r="F781" s="37"/>
      <c r="G781" s="1151"/>
      <c r="H781" s="1151"/>
      <c r="I781" s="1151"/>
      <c r="J781" s="1151"/>
      <c r="K781" s="1151"/>
      <c r="L781" s="37"/>
      <c r="M781" s="37"/>
      <c r="N781" s="37"/>
      <c r="O781" s="37"/>
      <c r="P781" s="37"/>
      <c r="Q781" s="1151"/>
      <c r="R781" s="1151"/>
      <c r="S781" s="1151"/>
      <c r="T781" s="1151"/>
      <c r="U781" s="1151"/>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3" customHeight="1">
      <c r="B782" s="37"/>
      <c r="C782" s="37"/>
      <c r="D782" s="37"/>
      <c r="E782" s="37"/>
      <c r="F782" s="37"/>
      <c r="G782" s="1151"/>
      <c r="H782" s="1151"/>
      <c r="I782" s="1151"/>
      <c r="J782" s="363"/>
      <c r="K782" s="1151"/>
      <c r="L782" s="37"/>
      <c r="M782" s="37"/>
      <c r="N782" s="37"/>
      <c r="O782" s="37"/>
      <c r="P782" s="37"/>
      <c r="Q782" s="1151"/>
      <c r="R782" s="1151"/>
      <c r="S782" s="1151"/>
      <c r="T782" s="1151"/>
      <c r="U782" s="1151"/>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3" customHeight="1">
      <c r="J783" s="1445" t="s">
        <v>1458</v>
      </c>
      <c r="K783" s="1446"/>
      <c r="L783" s="1446"/>
      <c r="M783" s="1446"/>
      <c r="N783" s="1447"/>
      <c r="O783" s="1543" t="s">
        <v>1459</v>
      </c>
      <c r="P783" s="1543"/>
      <c r="Q783" s="1543"/>
      <c r="R783" s="1543"/>
      <c r="S783" s="1543"/>
      <c r="T783" s="1461" t="s">
        <v>1460</v>
      </c>
      <c r="U783" s="1462"/>
      <c r="V783" s="1462"/>
      <c r="W783" s="1463"/>
      <c r="X783" s="1445" t="s">
        <v>1461</v>
      </c>
      <c r="Y783" s="1446"/>
      <c r="Z783" s="1446"/>
      <c r="AA783" s="1446"/>
      <c r="AB783" s="1447"/>
      <c r="AC783" s="1445" t="s">
        <v>1493</v>
      </c>
      <c r="AD783" s="1446"/>
      <c r="AE783" s="1446"/>
      <c r="AF783" s="1446"/>
      <c r="AG783" s="1447"/>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3" customHeight="1">
      <c r="J784" s="1448"/>
      <c r="K784" s="1449"/>
      <c r="L784" s="1449"/>
      <c r="M784" s="1449"/>
      <c r="N784" s="1450"/>
      <c r="O784" s="1543"/>
      <c r="P784" s="1543"/>
      <c r="Q784" s="1543"/>
      <c r="R784" s="1543"/>
      <c r="S784" s="1543"/>
      <c r="T784" s="1464"/>
      <c r="U784" s="1465"/>
      <c r="V784" s="1465"/>
      <c r="W784" s="1466"/>
      <c r="X784" s="1448"/>
      <c r="Y784" s="1449"/>
      <c r="Z784" s="1449"/>
      <c r="AA784" s="1449"/>
      <c r="AB784" s="1450"/>
      <c r="AC784" s="1448"/>
      <c r="AD784" s="1449"/>
      <c r="AE784" s="1449"/>
      <c r="AF784" s="1449"/>
      <c r="AG784" s="1450"/>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3" customHeight="1">
      <c r="J785" s="1448"/>
      <c r="K785" s="1449"/>
      <c r="L785" s="1449"/>
      <c r="M785" s="1449"/>
      <c r="N785" s="1450"/>
      <c r="O785" s="1543"/>
      <c r="P785" s="1543"/>
      <c r="Q785" s="1543"/>
      <c r="R785" s="1543"/>
      <c r="S785" s="1543"/>
      <c r="T785" s="1464"/>
      <c r="U785" s="1465"/>
      <c r="V785" s="1465"/>
      <c r="W785" s="1466"/>
      <c r="X785" s="1448"/>
      <c r="Y785" s="1449"/>
      <c r="Z785" s="1449"/>
      <c r="AA785" s="1449"/>
      <c r="AB785" s="1450"/>
      <c r="AC785" s="1448"/>
      <c r="AD785" s="1449"/>
      <c r="AE785" s="1449"/>
      <c r="AF785" s="1449"/>
      <c r="AG785" s="1450"/>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3" customHeight="1">
      <c r="J786" s="1451"/>
      <c r="K786" s="1452"/>
      <c r="L786" s="1452"/>
      <c r="M786" s="1452"/>
      <c r="N786" s="1453"/>
      <c r="O786" s="1543"/>
      <c r="P786" s="1543"/>
      <c r="Q786" s="1543"/>
      <c r="R786" s="1543"/>
      <c r="S786" s="1543"/>
      <c r="T786" s="1551"/>
      <c r="U786" s="1552"/>
      <c r="V786" s="1552"/>
      <c r="W786" s="1553"/>
      <c r="X786" s="1451"/>
      <c r="Y786" s="1452"/>
      <c r="Z786" s="1452"/>
      <c r="AA786" s="1452"/>
      <c r="AB786" s="1453"/>
      <c r="AC786" s="1451"/>
      <c r="AD786" s="1452"/>
      <c r="AE786" s="1452"/>
      <c r="AF786" s="1452"/>
      <c r="AG786" s="1453"/>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1499</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1500</v>
      </c>
      <c r="DV786" s="2"/>
      <c r="DW786" s="2"/>
      <c r="DX786" s="2"/>
      <c r="DY786" s="2"/>
      <c r="DZ786" s="2"/>
      <c r="EA786" s="2"/>
      <c r="EB786" s="2"/>
      <c r="EC786" s="2"/>
      <c r="ED786" s="2"/>
      <c r="EE786" s="2"/>
      <c r="EF786" s="2"/>
      <c r="EG786" s="2"/>
      <c r="EH786" s="2"/>
    </row>
    <row r="787" spans="1:154" ht="13" customHeight="1">
      <c r="J787" s="1310"/>
      <c r="K787" s="1311"/>
      <c r="L787" s="1311"/>
      <c r="M787" s="1311"/>
      <c r="N787" s="1312"/>
      <c r="O787" s="1416"/>
      <c r="P787" s="1416"/>
      <c r="Q787" s="1416"/>
      <c r="R787" s="1416"/>
      <c r="S787" s="1416"/>
      <c r="T787" s="1545"/>
      <c r="U787" s="1546"/>
      <c r="V787" s="1546"/>
      <c r="W787" s="1547"/>
      <c r="X787" s="1420"/>
      <c r="Y787" s="1421"/>
      <c r="Z787" s="1421"/>
      <c r="AA787" s="1421"/>
      <c r="AB787" s="1422"/>
      <c r="AC787" s="1313">
        <f t="shared" ref="AC787:AC796" si="40">X787*O787</f>
        <v>0</v>
      </c>
      <c r="AD787" s="1314"/>
      <c r="AE787" s="1314"/>
      <c r="AF787" s="1314"/>
      <c r="AG787" s="1315"/>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3">
        <f t="shared" ref="CP787:CP796" si="41">IF(J787="SRO/Studio",O787,0)</f>
        <v>0</v>
      </c>
      <c r="CQ787" s="1294"/>
      <c r="CR787" s="1294"/>
      <c r="CS787" s="1294"/>
      <c r="CT787" s="1295"/>
      <c r="CU787" s="1293">
        <f t="shared" ref="CU787:CU796" si="42">IF(J787="1 Bedroom",O787,0)</f>
        <v>0</v>
      </c>
      <c r="CV787" s="1294"/>
      <c r="CW787" s="1294"/>
      <c r="CX787" s="1294"/>
      <c r="CY787" s="1295"/>
      <c r="CZ787" s="1293">
        <f t="shared" ref="CZ787:CZ796" si="43">IF(J787="2 Bedrooms",O787,0)</f>
        <v>0</v>
      </c>
      <c r="DA787" s="1294"/>
      <c r="DB787" s="1294"/>
      <c r="DC787" s="1294"/>
      <c r="DD787" s="1295"/>
      <c r="DE787" s="1293">
        <f t="shared" ref="DE787:DE796" si="44">IF(J787="3 Bedrooms",O787,0)</f>
        <v>0</v>
      </c>
      <c r="DF787" s="1294"/>
      <c r="DG787" s="1294"/>
      <c r="DH787" s="1294"/>
      <c r="DI787" s="1295"/>
      <c r="DJ787" s="1293">
        <f t="shared" ref="DJ787:DJ796" si="45">IF(J787="4 Bedrooms",O787,0)</f>
        <v>0</v>
      </c>
      <c r="DK787" s="1294"/>
      <c r="DL787" s="1294"/>
      <c r="DM787" s="1294"/>
      <c r="DN787" s="1295"/>
      <c r="DO787" s="1293">
        <f t="shared" ref="DO787:DO796" si="46">IF(J787="5 Bedrooms",O787,0)</f>
        <v>0</v>
      </c>
      <c r="DP787" s="1294"/>
      <c r="DQ787" s="1294"/>
      <c r="DR787" s="1294"/>
      <c r="DS787" s="1295"/>
      <c r="DT787" s="1151"/>
      <c r="DU787" s="1293">
        <f t="shared" ref="DU787:DU796" si="47">IF(AND(CP787&gt;=1,AH787&gt;=0.1,AH787&lt;=1),O787,0)</f>
        <v>0</v>
      </c>
      <c r="DV787" s="1294"/>
      <c r="DW787" s="1294"/>
      <c r="DX787" s="1294"/>
      <c r="DY787" s="1295"/>
      <c r="DZ787" s="1293">
        <f t="shared" ref="DZ787:DZ796" si="48">IF(AND(CU787&gt;=1,AH787&gt;=0.1,AH787&lt;=1),O787,0)</f>
        <v>0</v>
      </c>
      <c r="EA787" s="1294"/>
      <c r="EB787" s="1294"/>
      <c r="EC787" s="1294"/>
      <c r="ED787" s="1295"/>
      <c r="EE787" s="1293">
        <f t="shared" ref="EE787:EE796" si="49">IF(AND(CZ787&gt;=1,AH787&gt;=0.1,AH787&lt;=1),O787,0)</f>
        <v>0</v>
      </c>
      <c r="EF787" s="1294"/>
      <c r="EG787" s="1294"/>
      <c r="EH787" s="1294"/>
      <c r="EI787" s="1295"/>
      <c r="EJ787" s="1293">
        <f t="shared" ref="EJ787:EJ796" si="50">IF(AND(DE787&gt;=1,AH787&gt;=0.1,AH787&lt;=1),O787,0)</f>
        <v>0</v>
      </c>
      <c r="EK787" s="1294"/>
      <c r="EL787" s="1294"/>
      <c r="EM787" s="1294"/>
      <c r="EN787" s="1295"/>
      <c r="EO787" s="1293">
        <f t="shared" ref="EO787:EO796" si="51">IF(AND(DJ787&gt;=1,AH787&gt;=0.1,AH787&lt;=1),O787,0)</f>
        <v>0</v>
      </c>
      <c r="EP787" s="1294"/>
      <c r="EQ787" s="1294"/>
      <c r="ER787" s="1294"/>
      <c r="ES787" s="1295"/>
      <c r="ET787" s="1293">
        <f t="shared" ref="ET787:ET796" si="52">IF(AND(DO787&gt;=1,AH787&gt;=0.1,AH787&lt;=1),O787,0)</f>
        <v>0</v>
      </c>
      <c r="EU787" s="1294"/>
      <c r="EV787" s="1294"/>
      <c r="EW787" s="1294"/>
      <c r="EX787" s="1295"/>
    </row>
    <row r="788" spans="1:154" s="11" customFormat="1" ht="13" customHeight="1">
      <c r="A788"/>
      <c r="B788"/>
      <c r="C788"/>
      <c r="D788"/>
      <c r="E788"/>
      <c r="F788"/>
      <c r="G788"/>
      <c r="H788"/>
      <c r="I788"/>
      <c r="J788" s="1310"/>
      <c r="K788" s="1311"/>
      <c r="L788" s="1311"/>
      <c r="M788" s="1311"/>
      <c r="N788" s="1312"/>
      <c r="O788" s="1416"/>
      <c r="P788" s="1416"/>
      <c r="Q788" s="1416"/>
      <c r="R788" s="1416"/>
      <c r="S788" s="1416"/>
      <c r="T788" s="1545"/>
      <c r="U788" s="1546"/>
      <c r="V788" s="1546"/>
      <c r="W788" s="1547"/>
      <c r="X788" s="1420"/>
      <c r="Y788" s="1421"/>
      <c r="Z788" s="1421"/>
      <c r="AA788" s="1421"/>
      <c r="AB788" s="1422"/>
      <c r="AC788" s="1313">
        <f t="shared" si="40"/>
        <v>0</v>
      </c>
      <c r="AD788" s="1314"/>
      <c r="AE788" s="1314"/>
      <c r="AF788" s="1314"/>
      <c r="AG788" s="1315"/>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3">
        <f t="shared" si="41"/>
        <v>0</v>
      </c>
      <c r="CQ788" s="1294"/>
      <c r="CR788" s="1294"/>
      <c r="CS788" s="1294"/>
      <c r="CT788" s="1295"/>
      <c r="CU788" s="1293">
        <f t="shared" si="42"/>
        <v>0</v>
      </c>
      <c r="CV788" s="1294"/>
      <c r="CW788" s="1294"/>
      <c r="CX788" s="1294"/>
      <c r="CY788" s="1295"/>
      <c r="CZ788" s="1293">
        <f t="shared" si="43"/>
        <v>0</v>
      </c>
      <c r="DA788" s="1294"/>
      <c r="DB788" s="1294"/>
      <c r="DC788" s="1294"/>
      <c r="DD788" s="1295"/>
      <c r="DE788" s="1293">
        <f t="shared" si="44"/>
        <v>0</v>
      </c>
      <c r="DF788" s="1294"/>
      <c r="DG788" s="1294"/>
      <c r="DH788" s="1294"/>
      <c r="DI788" s="1295"/>
      <c r="DJ788" s="1293">
        <f t="shared" si="45"/>
        <v>0</v>
      </c>
      <c r="DK788" s="1294"/>
      <c r="DL788" s="1294"/>
      <c r="DM788" s="1294"/>
      <c r="DN788" s="1295"/>
      <c r="DO788" s="1293">
        <f t="shared" si="46"/>
        <v>0</v>
      </c>
      <c r="DP788" s="1294"/>
      <c r="DQ788" s="1294"/>
      <c r="DR788" s="1294"/>
      <c r="DS788" s="1295"/>
      <c r="DT788" s="1151"/>
      <c r="DU788" s="1293">
        <f t="shared" si="47"/>
        <v>0</v>
      </c>
      <c r="DV788" s="1294"/>
      <c r="DW788" s="1294"/>
      <c r="DX788" s="1294"/>
      <c r="DY788" s="1295"/>
      <c r="DZ788" s="1293">
        <f t="shared" si="48"/>
        <v>0</v>
      </c>
      <c r="EA788" s="1294"/>
      <c r="EB788" s="1294"/>
      <c r="EC788" s="1294"/>
      <c r="ED788" s="1295"/>
      <c r="EE788" s="1293">
        <f t="shared" si="49"/>
        <v>0</v>
      </c>
      <c r="EF788" s="1294"/>
      <c r="EG788" s="1294"/>
      <c r="EH788" s="1294"/>
      <c r="EI788" s="1295"/>
      <c r="EJ788" s="1293">
        <f t="shared" si="50"/>
        <v>0</v>
      </c>
      <c r="EK788" s="1294"/>
      <c r="EL788" s="1294"/>
      <c r="EM788" s="1294"/>
      <c r="EN788" s="1295"/>
      <c r="EO788" s="1293">
        <f t="shared" si="51"/>
        <v>0</v>
      </c>
      <c r="EP788" s="1294"/>
      <c r="EQ788" s="1294"/>
      <c r="ER788" s="1294"/>
      <c r="ES788" s="1295"/>
      <c r="ET788" s="1293">
        <f t="shared" si="52"/>
        <v>0</v>
      </c>
      <c r="EU788" s="1294"/>
      <c r="EV788" s="1294"/>
      <c r="EW788" s="1294"/>
      <c r="EX788" s="1295"/>
    </row>
    <row r="789" spans="1:154" s="11" customFormat="1" ht="13" customHeight="1">
      <c r="A789"/>
      <c r="B789"/>
      <c r="C789"/>
      <c r="D789"/>
      <c r="E789"/>
      <c r="F789"/>
      <c r="G789"/>
      <c r="H789"/>
      <c r="I789"/>
      <c r="J789" s="1310"/>
      <c r="K789" s="1311"/>
      <c r="L789" s="1311"/>
      <c r="M789" s="1311"/>
      <c r="N789" s="1312"/>
      <c r="O789" s="1416"/>
      <c r="P789" s="1416"/>
      <c r="Q789" s="1416"/>
      <c r="R789" s="1416"/>
      <c r="S789" s="1416"/>
      <c r="T789" s="1545"/>
      <c r="U789" s="1546"/>
      <c r="V789" s="1546"/>
      <c r="W789" s="1547"/>
      <c r="X789" s="1420"/>
      <c r="Y789" s="1421"/>
      <c r="Z789" s="1421"/>
      <c r="AA789" s="1421"/>
      <c r="AB789" s="1422"/>
      <c r="AC789" s="1313">
        <f t="shared" si="40"/>
        <v>0</v>
      </c>
      <c r="AD789" s="1314"/>
      <c r="AE789" s="1314"/>
      <c r="AF789" s="1314"/>
      <c r="AG789" s="1315"/>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3">
        <f t="shared" si="41"/>
        <v>0</v>
      </c>
      <c r="CQ789" s="1294"/>
      <c r="CR789" s="1294"/>
      <c r="CS789" s="1294"/>
      <c r="CT789" s="1295"/>
      <c r="CU789" s="1293">
        <f t="shared" si="42"/>
        <v>0</v>
      </c>
      <c r="CV789" s="1294"/>
      <c r="CW789" s="1294"/>
      <c r="CX789" s="1294"/>
      <c r="CY789" s="1295"/>
      <c r="CZ789" s="1293">
        <f t="shared" si="43"/>
        <v>0</v>
      </c>
      <c r="DA789" s="1294"/>
      <c r="DB789" s="1294"/>
      <c r="DC789" s="1294"/>
      <c r="DD789" s="1295"/>
      <c r="DE789" s="1293">
        <f t="shared" si="44"/>
        <v>0</v>
      </c>
      <c r="DF789" s="1294"/>
      <c r="DG789" s="1294"/>
      <c r="DH789" s="1294"/>
      <c r="DI789" s="1295"/>
      <c r="DJ789" s="1293">
        <f t="shared" si="45"/>
        <v>0</v>
      </c>
      <c r="DK789" s="1294"/>
      <c r="DL789" s="1294"/>
      <c r="DM789" s="1294"/>
      <c r="DN789" s="1295"/>
      <c r="DO789" s="1293">
        <f t="shared" si="46"/>
        <v>0</v>
      </c>
      <c r="DP789" s="1294"/>
      <c r="DQ789" s="1294"/>
      <c r="DR789" s="1294"/>
      <c r="DS789" s="1295"/>
      <c r="DT789" s="1151"/>
      <c r="DU789" s="1293">
        <f t="shared" si="47"/>
        <v>0</v>
      </c>
      <c r="DV789" s="1294"/>
      <c r="DW789" s="1294"/>
      <c r="DX789" s="1294"/>
      <c r="DY789" s="1295"/>
      <c r="DZ789" s="1293">
        <f t="shared" si="48"/>
        <v>0</v>
      </c>
      <c r="EA789" s="1294"/>
      <c r="EB789" s="1294"/>
      <c r="EC789" s="1294"/>
      <c r="ED789" s="1295"/>
      <c r="EE789" s="1293">
        <f t="shared" si="49"/>
        <v>0</v>
      </c>
      <c r="EF789" s="1294"/>
      <c r="EG789" s="1294"/>
      <c r="EH789" s="1294"/>
      <c r="EI789" s="1295"/>
      <c r="EJ789" s="1293">
        <f t="shared" si="50"/>
        <v>0</v>
      </c>
      <c r="EK789" s="1294"/>
      <c r="EL789" s="1294"/>
      <c r="EM789" s="1294"/>
      <c r="EN789" s="1295"/>
      <c r="EO789" s="1293">
        <f t="shared" si="51"/>
        <v>0</v>
      </c>
      <c r="EP789" s="1294"/>
      <c r="EQ789" s="1294"/>
      <c r="ER789" s="1294"/>
      <c r="ES789" s="1295"/>
      <c r="ET789" s="1293">
        <f t="shared" si="52"/>
        <v>0</v>
      </c>
      <c r="EU789" s="1294"/>
      <c r="EV789" s="1294"/>
      <c r="EW789" s="1294"/>
      <c r="EX789" s="1295"/>
    </row>
    <row r="790" spans="1:154" s="11" customFormat="1" ht="13" customHeight="1">
      <c r="A790"/>
      <c r="B790"/>
      <c r="C790"/>
      <c r="D790"/>
      <c r="E790"/>
      <c r="F790"/>
      <c r="G790"/>
      <c r="H790"/>
      <c r="I790"/>
      <c r="J790" s="1310"/>
      <c r="K790" s="1311"/>
      <c r="L790" s="1311"/>
      <c r="M790" s="1311"/>
      <c r="N790" s="1312"/>
      <c r="O790" s="1416"/>
      <c r="P790" s="1416"/>
      <c r="Q790" s="1416"/>
      <c r="R790" s="1416"/>
      <c r="S790" s="1416"/>
      <c r="T790" s="1545"/>
      <c r="U790" s="1546"/>
      <c r="V790" s="1546"/>
      <c r="W790" s="1547"/>
      <c r="X790" s="1420"/>
      <c r="Y790" s="1421"/>
      <c r="Z790" s="1421"/>
      <c r="AA790" s="1421"/>
      <c r="AB790" s="1422"/>
      <c r="AC790" s="1313">
        <f t="shared" si="40"/>
        <v>0</v>
      </c>
      <c r="AD790" s="1314"/>
      <c r="AE790" s="1314"/>
      <c r="AF790" s="1314"/>
      <c r="AG790" s="1315"/>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3">
        <f t="shared" si="41"/>
        <v>0</v>
      </c>
      <c r="CQ790" s="1294"/>
      <c r="CR790" s="1294"/>
      <c r="CS790" s="1294"/>
      <c r="CT790" s="1295"/>
      <c r="CU790" s="1293">
        <f t="shared" si="42"/>
        <v>0</v>
      </c>
      <c r="CV790" s="1294"/>
      <c r="CW790" s="1294"/>
      <c r="CX790" s="1294"/>
      <c r="CY790" s="1295"/>
      <c r="CZ790" s="1293">
        <f t="shared" si="43"/>
        <v>0</v>
      </c>
      <c r="DA790" s="1294"/>
      <c r="DB790" s="1294"/>
      <c r="DC790" s="1294"/>
      <c r="DD790" s="1295"/>
      <c r="DE790" s="1293">
        <f t="shared" si="44"/>
        <v>0</v>
      </c>
      <c r="DF790" s="1294"/>
      <c r="DG790" s="1294"/>
      <c r="DH790" s="1294"/>
      <c r="DI790" s="1295"/>
      <c r="DJ790" s="1293">
        <f t="shared" si="45"/>
        <v>0</v>
      </c>
      <c r="DK790" s="1294"/>
      <c r="DL790" s="1294"/>
      <c r="DM790" s="1294"/>
      <c r="DN790" s="1295"/>
      <c r="DO790" s="1293">
        <f t="shared" si="46"/>
        <v>0</v>
      </c>
      <c r="DP790" s="1294"/>
      <c r="DQ790" s="1294"/>
      <c r="DR790" s="1294"/>
      <c r="DS790" s="1295"/>
      <c r="DT790" s="1151"/>
      <c r="DU790" s="1293">
        <f t="shared" si="47"/>
        <v>0</v>
      </c>
      <c r="DV790" s="1294"/>
      <c r="DW790" s="1294"/>
      <c r="DX790" s="1294"/>
      <c r="DY790" s="1295"/>
      <c r="DZ790" s="1293">
        <f t="shared" si="48"/>
        <v>0</v>
      </c>
      <c r="EA790" s="1294"/>
      <c r="EB790" s="1294"/>
      <c r="EC790" s="1294"/>
      <c r="ED790" s="1295"/>
      <c r="EE790" s="1293">
        <f t="shared" si="49"/>
        <v>0</v>
      </c>
      <c r="EF790" s="1294"/>
      <c r="EG790" s="1294"/>
      <c r="EH790" s="1294"/>
      <c r="EI790" s="1295"/>
      <c r="EJ790" s="1293">
        <f t="shared" si="50"/>
        <v>0</v>
      </c>
      <c r="EK790" s="1294"/>
      <c r="EL790" s="1294"/>
      <c r="EM790" s="1294"/>
      <c r="EN790" s="1295"/>
      <c r="EO790" s="1293">
        <f t="shared" si="51"/>
        <v>0</v>
      </c>
      <c r="EP790" s="1294"/>
      <c r="EQ790" s="1294"/>
      <c r="ER790" s="1294"/>
      <c r="ES790" s="1295"/>
      <c r="ET790" s="1293">
        <f t="shared" si="52"/>
        <v>0</v>
      </c>
      <c r="EU790" s="1294"/>
      <c r="EV790" s="1294"/>
      <c r="EW790" s="1294"/>
      <c r="EX790" s="1295"/>
    </row>
    <row r="791" spans="1:154" s="11" customFormat="1" ht="13" customHeight="1">
      <c r="A791"/>
      <c r="B791"/>
      <c r="C791"/>
      <c r="D791"/>
      <c r="E791"/>
      <c r="F791"/>
      <c r="G791"/>
      <c r="H791"/>
      <c r="I791"/>
      <c r="J791" s="1310"/>
      <c r="K791" s="1311"/>
      <c r="L791" s="1311"/>
      <c r="M791" s="1311"/>
      <c r="N791" s="1312"/>
      <c r="O791" s="1416"/>
      <c r="P791" s="1416"/>
      <c r="Q791" s="1416"/>
      <c r="R791" s="1416"/>
      <c r="S791" s="1416"/>
      <c r="T791" s="1545"/>
      <c r="U791" s="1546"/>
      <c r="V791" s="1546"/>
      <c r="W791" s="1547"/>
      <c r="X791" s="1420"/>
      <c r="Y791" s="1421"/>
      <c r="Z791" s="1421"/>
      <c r="AA791" s="1421"/>
      <c r="AB791" s="1422"/>
      <c r="AC791" s="1313">
        <f t="shared" si="40"/>
        <v>0</v>
      </c>
      <c r="AD791" s="1314"/>
      <c r="AE791" s="1314"/>
      <c r="AF791" s="1314"/>
      <c r="AG791" s="1315"/>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3">
        <f t="shared" si="41"/>
        <v>0</v>
      </c>
      <c r="CQ791" s="1294"/>
      <c r="CR791" s="1294"/>
      <c r="CS791" s="1294"/>
      <c r="CT791" s="1295"/>
      <c r="CU791" s="1293">
        <f t="shared" si="42"/>
        <v>0</v>
      </c>
      <c r="CV791" s="1294"/>
      <c r="CW791" s="1294"/>
      <c r="CX791" s="1294"/>
      <c r="CY791" s="1295"/>
      <c r="CZ791" s="1293">
        <f t="shared" si="43"/>
        <v>0</v>
      </c>
      <c r="DA791" s="1294"/>
      <c r="DB791" s="1294"/>
      <c r="DC791" s="1294"/>
      <c r="DD791" s="1295"/>
      <c r="DE791" s="1293">
        <f t="shared" si="44"/>
        <v>0</v>
      </c>
      <c r="DF791" s="1294"/>
      <c r="DG791" s="1294"/>
      <c r="DH791" s="1294"/>
      <c r="DI791" s="1295"/>
      <c r="DJ791" s="1293">
        <f t="shared" si="45"/>
        <v>0</v>
      </c>
      <c r="DK791" s="1294"/>
      <c r="DL791" s="1294"/>
      <c r="DM791" s="1294"/>
      <c r="DN791" s="1295"/>
      <c r="DO791" s="1293">
        <f t="shared" si="46"/>
        <v>0</v>
      </c>
      <c r="DP791" s="1294"/>
      <c r="DQ791" s="1294"/>
      <c r="DR791" s="1294"/>
      <c r="DS791" s="1295"/>
      <c r="DT791" s="1151"/>
      <c r="DU791" s="1293">
        <f t="shared" si="47"/>
        <v>0</v>
      </c>
      <c r="DV791" s="1294"/>
      <c r="DW791" s="1294"/>
      <c r="DX791" s="1294"/>
      <c r="DY791" s="1295"/>
      <c r="DZ791" s="1293">
        <f t="shared" si="48"/>
        <v>0</v>
      </c>
      <c r="EA791" s="1294"/>
      <c r="EB791" s="1294"/>
      <c r="EC791" s="1294"/>
      <c r="ED791" s="1295"/>
      <c r="EE791" s="1293">
        <f t="shared" si="49"/>
        <v>0</v>
      </c>
      <c r="EF791" s="1294"/>
      <c r="EG791" s="1294"/>
      <c r="EH791" s="1294"/>
      <c r="EI791" s="1295"/>
      <c r="EJ791" s="1293">
        <f t="shared" si="50"/>
        <v>0</v>
      </c>
      <c r="EK791" s="1294"/>
      <c r="EL791" s="1294"/>
      <c r="EM791" s="1294"/>
      <c r="EN791" s="1295"/>
      <c r="EO791" s="1293">
        <f t="shared" si="51"/>
        <v>0</v>
      </c>
      <c r="EP791" s="1294"/>
      <c r="EQ791" s="1294"/>
      <c r="ER791" s="1294"/>
      <c r="ES791" s="1295"/>
      <c r="ET791" s="1293">
        <f t="shared" si="52"/>
        <v>0</v>
      </c>
      <c r="EU791" s="1294"/>
      <c r="EV791" s="1294"/>
      <c r="EW791" s="1294"/>
      <c r="EX791" s="1295"/>
    </row>
    <row r="792" spans="1:154" s="11" customFormat="1" ht="13" customHeight="1">
      <c r="A792"/>
      <c r="B792"/>
      <c r="C792"/>
      <c r="D792"/>
      <c r="E792"/>
      <c r="F792"/>
      <c r="G792"/>
      <c r="H792"/>
      <c r="I792"/>
      <c r="J792" s="1310"/>
      <c r="K792" s="1311"/>
      <c r="L792" s="1311"/>
      <c r="M792" s="1311"/>
      <c r="N792" s="1312"/>
      <c r="O792" s="1416"/>
      <c r="P792" s="1416"/>
      <c r="Q792" s="1416"/>
      <c r="R792" s="1416"/>
      <c r="S792" s="1416"/>
      <c r="T792" s="1545"/>
      <c r="U792" s="1546"/>
      <c r="V792" s="1546"/>
      <c r="W792" s="1547"/>
      <c r="X792" s="1420"/>
      <c r="Y792" s="1421"/>
      <c r="Z792" s="1421"/>
      <c r="AA792" s="1421"/>
      <c r="AB792" s="1422"/>
      <c r="AC792" s="1313">
        <f t="shared" si="40"/>
        <v>0</v>
      </c>
      <c r="AD792" s="1314"/>
      <c r="AE792" s="1314"/>
      <c r="AF792" s="1314"/>
      <c r="AG792" s="1315"/>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3">
        <f t="shared" si="41"/>
        <v>0</v>
      </c>
      <c r="CQ792" s="1294"/>
      <c r="CR792" s="1294"/>
      <c r="CS792" s="1294"/>
      <c r="CT792" s="1295"/>
      <c r="CU792" s="1293">
        <f t="shared" si="42"/>
        <v>0</v>
      </c>
      <c r="CV792" s="1294"/>
      <c r="CW792" s="1294"/>
      <c r="CX792" s="1294"/>
      <c r="CY792" s="1295"/>
      <c r="CZ792" s="1293">
        <f t="shared" si="43"/>
        <v>0</v>
      </c>
      <c r="DA792" s="1294"/>
      <c r="DB792" s="1294"/>
      <c r="DC792" s="1294"/>
      <c r="DD792" s="1295"/>
      <c r="DE792" s="1293">
        <f t="shared" si="44"/>
        <v>0</v>
      </c>
      <c r="DF792" s="1294"/>
      <c r="DG792" s="1294"/>
      <c r="DH792" s="1294"/>
      <c r="DI792" s="1295"/>
      <c r="DJ792" s="1293">
        <f t="shared" si="45"/>
        <v>0</v>
      </c>
      <c r="DK792" s="1294"/>
      <c r="DL792" s="1294"/>
      <c r="DM792" s="1294"/>
      <c r="DN792" s="1295"/>
      <c r="DO792" s="1293">
        <f t="shared" si="46"/>
        <v>0</v>
      </c>
      <c r="DP792" s="1294"/>
      <c r="DQ792" s="1294"/>
      <c r="DR792" s="1294"/>
      <c r="DS792" s="1295"/>
      <c r="DT792" s="1151"/>
      <c r="DU792" s="1293">
        <f t="shared" si="47"/>
        <v>0</v>
      </c>
      <c r="DV792" s="1294"/>
      <c r="DW792" s="1294"/>
      <c r="DX792" s="1294"/>
      <c r="DY792" s="1295"/>
      <c r="DZ792" s="1293">
        <f t="shared" si="48"/>
        <v>0</v>
      </c>
      <c r="EA792" s="1294"/>
      <c r="EB792" s="1294"/>
      <c r="EC792" s="1294"/>
      <c r="ED792" s="1295"/>
      <c r="EE792" s="1293">
        <f t="shared" si="49"/>
        <v>0</v>
      </c>
      <c r="EF792" s="1294"/>
      <c r="EG792" s="1294"/>
      <c r="EH792" s="1294"/>
      <c r="EI792" s="1295"/>
      <c r="EJ792" s="1293">
        <f t="shared" si="50"/>
        <v>0</v>
      </c>
      <c r="EK792" s="1294"/>
      <c r="EL792" s="1294"/>
      <c r="EM792" s="1294"/>
      <c r="EN792" s="1295"/>
      <c r="EO792" s="1293">
        <f t="shared" si="51"/>
        <v>0</v>
      </c>
      <c r="EP792" s="1294"/>
      <c r="EQ792" s="1294"/>
      <c r="ER792" s="1294"/>
      <c r="ES792" s="1295"/>
      <c r="ET792" s="1293">
        <f t="shared" si="52"/>
        <v>0</v>
      </c>
      <c r="EU792" s="1294"/>
      <c r="EV792" s="1294"/>
      <c r="EW792" s="1294"/>
      <c r="EX792" s="1295"/>
    </row>
    <row r="793" spans="1:154" s="11" customFormat="1" ht="13" customHeight="1">
      <c r="A793"/>
      <c r="B793"/>
      <c r="C793"/>
      <c r="D793"/>
      <c r="E793"/>
      <c r="F793"/>
      <c r="G793"/>
      <c r="H793"/>
      <c r="I793"/>
      <c r="J793" s="1310"/>
      <c r="K793" s="1311"/>
      <c r="L793" s="1311"/>
      <c r="M793" s="1311"/>
      <c r="N793" s="1312"/>
      <c r="O793" s="1416"/>
      <c r="P793" s="1416"/>
      <c r="Q793" s="1416"/>
      <c r="R793" s="1416"/>
      <c r="S793" s="1416"/>
      <c r="T793" s="1545"/>
      <c r="U793" s="1546"/>
      <c r="V793" s="1546"/>
      <c r="W793" s="1547"/>
      <c r="X793" s="1420"/>
      <c r="Y793" s="1421"/>
      <c r="Z793" s="1421"/>
      <c r="AA793" s="1421"/>
      <c r="AB793" s="1422"/>
      <c r="AC793" s="1313">
        <f t="shared" si="40"/>
        <v>0</v>
      </c>
      <c r="AD793" s="1314"/>
      <c r="AE793" s="1314"/>
      <c r="AF793" s="1314"/>
      <c r="AG793" s="1315"/>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3">
        <f t="shared" si="41"/>
        <v>0</v>
      </c>
      <c r="CQ793" s="1294"/>
      <c r="CR793" s="1294"/>
      <c r="CS793" s="1294"/>
      <c r="CT793" s="1295"/>
      <c r="CU793" s="1293">
        <f t="shared" si="42"/>
        <v>0</v>
      </c>
      <c r="CV793" s="1294"/>
      <c r="CW793" s="1294"/>
      <c r="CX793" s="1294"/>
      <c r="CY793" s="1295"/>
      <c r="CZ793" s="1293">
        <f t="shared" si="43"/>
        <v>0</v>
      </c>
      <c r="DA793" s="1294"/>
      <c r="DB793" s="1294"/>
      <c r="DC793" s="1294"/>
      <c r="DD793" s="1295"/>
      <c r="DE793" s="1293">
        <f t="shared" si="44"/>
        <v>0</v>
      </c>
      <c r="DF793" s="1294"/>
      <c r="DG793" s="1294"/>
      <c r="DH793" s="1294"/>
      <c r="DI793" s="1295"/>
      <c r="DJ793" s="1293">
        <f t="shared" si="45"/>
        <v>0</v>
      </c>
      <c r="DK793" s="1294"/>
      <c r="DL793" s="1294"/>
      <c r="DM793" s="1294"/>
      <c r="DN793" s="1295"/>
      <c r="DO793" s="1293">
        <f t="shared" si="46"/>
        <v>0</v>
      </c>
      <c r="DP793" s="1294"/>
      <c r="DQ793" s="1294"/>
      <c r="DR793" s="1294"/>
      <c r="DS793" s="1295"/>
      <c r="DT793" s="1151"/>
      <c r="DU793" s="1293">
        <f t="shared" si="47"/>
        <v>0</v>
      </c>
      <c r="DV793" s="1294"/>
      <c r="DW793" s="1294"/>
      <c r="DX793" s="1294"/>
      <c r="DY793" s="1295"/>
      <c r="DZ793" s="1293">
        <f t="shared" si="48"/>
        <v>0</v>
      </c>
      <c r="EA793" s="1294"/>
      <c r="EB793" s="1294"/>
      <c r="EC793" s="1294"/>
      <c r="ED793" s="1295"/>
      <c r="EE793" s="1293">
        <f t="shared" si="49"/>
        <v>0</v>
      </c>
      <c r="EF793" s="1294"/>
      <c r="EG793" s="1294"/>
      <c r="EH793" s="1294"/>
      <c r="EI793" s="1295"/>
      <c r="EJ793" s="1293">
        <f t="shared" si="50"/>
        <v>0</v>
      </c>
      <c r="EK793" s="1294"/>
      <c r="EL793" s="1294"/>
      <c r="EM793" s="1294"/>
      <c r="EN793" s="1295"/>
      <c r="EO793" s="1293">
        <f t="shared" si="51"/>
        <v>0</v>
      </c>
      <c r="EP793" s="1294"/>
      <c r="EQ793" s="1294"/>
      <c r="ER793" s="1294"/>
      <c r="ES793" s="1295"/>
      <c r="ET793" s="1293">
        <f t="shared" si="52"/>
        <v>0</v>
      </c>
      <c r="EU793" s="1294"/>
      <c r="EV793" s="1294"/>
      <c r="EW793" s="1294"/>
      <c r="EX793" s="1295"/>
    </row>
    <row r="794" spans="1:154" s="11" customFormat="1" ht="13" customHeight="1">
      <c r="A794"/>
      <c r="B794"/>
      <c r="C794"/>
      <c r="D794"/>
      <c r="E794"/>
      <c r="F794"/>
      <c r="G794"/>
      <c r="H794"/>
      <c r="I794"/>
      <c r="J794" s="1310"/>
      <c r="K794" s="1311"/>
      <c r="L794" s="1311"/>
      <c r="M794" s="1311"/>
      <c r="N794" s="1312"/>
      <c r="O794" s="1416"/>
      <c r="P794" s="1416"/>
      <c r="Q794" s="1416"/>
      <c r="R794" s="1416"/>
      <c r="S794" s="1416"/>
      <c r="T794" s="1545"/>
      <c r="U794" s="1546"/>
      <c r="V794" s="1546"/>
      <c r="W794" s="1547"/>
      <c r="X794" s="1420"/>
      <c r="Y794" s="1421"/>
      <c r="Z794" s="1421"/>
      <c r="AA794" s="1421"/>
      <c r="AB794" s="1422"/>
      <c r="AC794" s="1313">
        <f t="shared" si="40"/>
        <v>0</v>
      </c>
      <c r="AD794" s="1314"/>
      <c r="AE794" s="1314"/>
      <c r="AF794" s="1314"/>
      <c r="AG794" s="1315"/>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3">
        <f t="shared" si="41"/>
        <v>0</v>
      </c>
      <c r="CQ794" s="1294"/>
      <c r="CR794" s="1294"/>
      <c r="CS794" s="1294"/>
      <c r="CT794" s="1295"/>
      <c r="CU794" s="1293">
        <f t="shared" si="42"/>
        <v>0</v>
      </c>
      <c r="CV794" s="1294"/>
      <c r="CW794" s="1294"/>
      <c r="CX794" s="1294"/>
      <c r="CY794" s="1295"/>
      <c r="CZ794" s="1293">
        <f t="shared" si="43"/>
        <v>0</v>
      </c>
      <c r="DA794" s="1294"/>
      <c r="DB794" s="1294"/>
      <c r="DC794" s="1294"/>
      <c r="DD794" s="1295"/>
      <c r="DE794" s="1293">
        <f t="shared" si="44"/>
        <v>0</v>
      </c>
      <c r="DF794" s="1294"/>
      <c r="DG794" s="1294"/>
      <c r="DH794" s="1294"/>
      <c r="DI794" s="1295"/>
      <c r="DJ794" s="1293">
        <f t="shared" si="45"/>
        <v>0</v>
      </c>
      <c r="DK794" s="1294"/>
      <c r="DL794" s="1294"/>
      <c r="DM794" s="1294"/>
      <c r="DN794" s="1295"/>
      <c r="DO794" s="1293">
        <f t="shared" si="46"/>
        <v>0</v>
      </c>
      <c r="DP794" s="1294"/>
      <c r="DQ794" s="1294"/>
      <c r="DR794" s="1294"/>
      <c r="DS794" s="1295"/>
      <c r="DT794" s="1151"/>
      <c r="DU794" s="1293">
        <f t="shared" si="47"/>
        <v>0</v>
      </c>
      <c r="DV794" s="1294"/>
      <c r="DW794" s="1294"/>
      <c r="DX794" s="1294"/>
      <c r="DY794" s="1295"/>
      <c r="DZ794" s="1293">
        <f t="shared" si="48"/>
        <v>0</v>
      </c>
      <c r="EA794" s="1294"/>
      <c r="EB794" s="1294"/>
      <c r="EC794" s="1294"/>
      <c r="ED794" s="1295"/>
      <c r="EE794" s="1293">
        <f t="shared" si="49"/>
        <v>0</v>
      </c>
      <c r="EF794" s="1294"/>
      <c r="EG794" s="1294"/>
      <c r="EH794" s="1294"/>
      <c r="EI794" s="1295"/>
      <c r="EJ794" s="1293">
        <f t="shared" si="50"/>
        <v>0</v>
      </c>
      <c r="EK794" s="1294"/>
      <c r="EL794" s="1294"/>
      <c r="EM794" s="1294"/>
      <c r="EN794" s="1295"/>
      <c r="EO794" s="1293">
        <f t="shared" si="51"/>
        <v>0</v>
      </c>
      <c r="EP794" s="1294"/>
      <c r="EQ794" s="1294"/>
      <c r="ER794" s="1294"/>
      <c r="ES794" s="1295"/>
      <c r="ET794" s="1293">
        <f t="shared" si="52"/>
        <v>0</v>
      </c>
      <c r="EU794" s="1294"/>
      <c r="EV794" s="1294"/>
      <c r="EW794" s="1294"/>
      <c r="EX794" s="1295"/>
    </row>
    <row r="795" spans="1:154" s="11" customFormat="1" ht="13" customHeight="1">
      <c r="A795"/>
      <c r="B795"/>
      <c r="C795"/>
      <c r="D795"/>
      <c r="E795"/>
      <c r="F795"/>
      <c r="G795"/>
      <c r="H795"/>
      <c r="I795"/>
      <c r="J795" s="1310"/>
      <c r="K795" s="1311"/>
      <c r="L795" s="1311"/>
      <c r="M795" s="1311"/>
      <c r="N795" s="1312"/>
      <c r="O795" s="1416"/>
      <c r="P795" s="1416"/>
      <c r="Q795" s="1416"/>
      <c r="R795" s="1416"/>
      <c r="S795" s="1416"/>
      <c r="T795" s="1545"/>
      <c r="U795" s="1546"/>
      <c r="V795" s="1546"/>
      <c r="W795" s="1547"/>
      <c r="X795" s="1420"/>
      <c r="Y795" s="1421"/>
      <c r="Z795" s="1421"/>
      <c r="AA795" s="1421"/>
      <c r="AB795" s="1422"/>
      <c r="AC795" s="1313">
        <f t="shared" si="40"/>
        <v>0</v>
      </c>
      <c r="AD795" s="1314"/>
      <c r="AE795" s="1314"/>
      <c r="AF795" s="1314"/>
      <c r="AG795" s="1315"/>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3">
        <f t="shared" si="41"/>
        <v>0</v>
      </c>
      <c r="CQ795" s="1294"/>
      <c r="CR795" s="1294"/>
      <c r="CS795" s="1294"/>
      <c r="CT795" s="1295"/>
      <c r="CU795" s="1293">
        <f t="shared" si="42"/>
        <v>0</v>
      </c>
      <c r="CV795" s="1294"/>
      <c r="CW795" s="1294"/>
      <c r="CX795" s="1294"/>
      <c r="CY795" s="1295"/>
      <c r="CZ795" s="1293">
        <f t="shared" si="43"/>
        <v>0</v>
      </c>
      <c r="DA795" s="1294"/>
      <c r="DB795" s="1294"/>
      <c r="DC795" s="1294"/>
      <c r="DD795" s="1295"/>
      <c r="DE795" s="1293">
        <f t="shared" si="44"/>
        <v>0</v>
      </c>
      <c r="DF795" s="1294"/>
      <c r="DG795" s="1294"/>
      <c r="DH795" s="1294"/>
      <c r="DI795" s="1295"/>
      <c r="DJ795" s="1293">
        <f t="shared" si="45"/>
        <v>0</v>
      </c>
      <c r="DK795" s="1294"/>
      <c r="DL795" s="1294"/>
      <c r="DM795" s="1294"/>
      <c r="DN795" s="1295"/>
      <c r="DO795" s="1293">
        <f t="shared" si="46"/>
        <v>0</v>
      </c>
      <c r="DP795" s="1294"/>
      <c r="DQ795" s="1294"/>
      <c r="DR795" s="1294"/>
      <c r="DS795" s="1295"/>
      <c r="DT795" s="1151"/>
      <c r="DU795" s="1293">
        <f t="shared" si="47"/>
        <v>0</v>
      </c>
      <c r="DV795" s="1294"/>
      <c r="DW795" s="1294"/>
      <c r="DX795" s="1294"/>
      <c r="DY795" s="1295"/>
      <c r="DZ795" s="1293">
        <f t="shared" si="48"/>
        <v>0</v>
      </c>
      <c r="EA795" s="1294"/>
      <c r="EB795" s="1294"/>
      <c r="EC795" s="1294"/>
      <c r="ED795" s="1295"/>
      <c r="EE795" s="1293">
        <f t="shared" si="49"/>
        <v>0</v>
      </c>
      <c r="EF795" s="1294"/>
      <c r="EG795" s="1294"/>
      <c r="EH795" s="1294"/>
      <c r="EI795" s="1295"/>
      <c r="EJ795" s="1293">
        <f t="shared" si="50"/>
        <v>0</v>
      </c>
      <c r="EK795" s="1294"/>
      <c r="EL795" s="1294"/>
      <c r="EM795" s="1294"/>
      <c r="EN795" s="1295"/>
      <c r="EO795" s="1293">
        <f t="shared" si="51"/>
        <v>0</v>
      </c>
      <c r="EP795" s="1294"/>
      <c r="EQ795" s="1294"/>
      <c r="ER795" s="1294"/>
      <c r="ES795" s="1295"/>
      <c r="ET795" s="1293">
        <f t="shared" si="52"/>
        <v>0</v>
      </c>
      <c r="EU795" s="1294"/>
      <c r="EV795" s="1294"/>
      <c r="EW795" s="1294"/>
      <c r="EX795" s="1295"/>
    </row>
    <row r="796" spans="1:154" s="3" customFormat="1" ht="13" customHeight="1">
      <c r="A796"/>
      <c r="B796"/>
      <c r="C796"/>
      <c r="D796"/>
      <c r="E796"/>
      <c r="F796"/>
      <c r="G796"/>
      <c r="H796"/>
      <c r="I796"/>
      <c r="J796" s="1310"/>
      <c r="K796" s="1311"/>
      <c r="L796" s="1311"/>
      <c r="M796" s="1311"/>
      <c r="N796" s="1312"/>
      <c r="O796" s="1416"/>
      <c r="P796" s="1416"/>
      <c r="Q796" s="1416"/>
      <c r="R796" s="1416"/>
      <c r="S796" s="1416"/>
      <c r="T796" s="1545"/>
      <c r="U796" s="1546"/>
      <c r="V796" s="1546"/>
      <c r="W796" s="1547"/>
      <c r="X796" s="1420"/>
      <c r="Y796" s="1421"/>
      <c r="Z796" s="1421"/>
      <c r="AA796" s="1421"/>
      <c r="AB796" s="1422"/>
      <c r="AC796" s="1313">
        <f t="shared" si="40"/>
        <v>0</v>
      </c>
      <c r="AD796" s="1314"/>
      <c r="AE796" s="1314"/>
      <c r="AF796" s="1314"/>
      <c r="AG796" s="1315"/>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3">
        <f t="shared" si="41"/>
        <v>0</v>
      </c>
      <c r="CQ796" s="1294"/>
      <c r="CR796" s="1294"/>
      <c r="CS796" s="1294"/>
      <c r="CT796" s="1295"/>
      <c r="CU796" s="1293">
        <f t="shared" si="42"/>
        <v>0</v>
      </c>
      <c r="CV796" s="1294"/>
      <c r="CW796" s="1294"/>
      <c r="CX796" s="1294"/>
      <c r="CY796" s="1295"/>
      <c r="CZ796" s="1293">
        <f t="shared" si="43"/>
        <v>0</v>
      </c>
      <c r="DA796" s="1294"/>
      <c r="DB796" s="1294"/>
      <c r="DC796" s="1294"/>
      <c r="DD796" s="1295"/>
      <c r="DE796" s="1293">
        <f t="shared" si="44"/>
        <v>0</v>
      </c>
      <c r="DF796" s="1294"/>
      <c r="DG796" s="1294"/>
      <c r="DH796" s="1294"/>
      <c r="DI796" s="1295"/>
      <c r="DJ796" s="1293">
        <f t="shared" si="45"/>
        <v>0</v>
      </c>
      <c r="DK796" s="1294"/>
      <c r="DL796" s="1294"/>
      <c r="DM796" s="1294"/>
      <c r="DN796" s="1295"/>
      <c r="DO796" s="1293">
        <f t="shared" si="46"/>
        <v>0</v>
      </c>
      <c r="DP796" s="1294"/>
      <c r="DQ796" s="1294"/>
      <c r="DR796" s="1294"/>
      <c r="DS796" s="1295"/>
      <c r="DT796" s="1151"/>
      <c r="DU796" s="1293">
        <f t="shared" si="47"/>
        <v>0</v>
      </c>
      <c r="DV796" s="1294"/>
      <c r="DW796" s="1294"/>
      <c r="DX796" s="1294"/>
      <c r="DY796" s="1295"/>
      <c r="DZ796" s="1293">
        <f t="shared" si="48"/>
        <v>0</v>
      </c>
      <c r="EA796" s="1294"/>
      <c r="EB796" s="1294"/>
      <c r="EC796" s="1294"/>
      <c r="ED796" s="1295"/>
      <c r="EE796" s="1293">
        <f t="shared" si="49"/>
        <v>0</v>
      </c>
      <c r="EF796" s="1294"/>
      <c r="EG796" s="1294"/>
      <c r="EH796" s="1294"/>
      <c r="EI796" s="1295"/>
      <c r="EJ796" s="1293">
        <f t="shared" si="50"/>
        <v>0</v>
      </c>
      <c r="EK796" s="1294"/>
      <c r="EL796" s="1294"/>
      <c r="EM796" s="1294"/>
      <c r="EN796" s="1295"/>
      <c r="EO796" s="1293">
        <f t="shared" si="51"/>
        <v>0</v>
      </c>
      <c r="EP796" s="1294"/>
      <c r="EQ796" s="1294"/>
      <c r="ER796" s="1294"/>
      <c r="ES796" s="1295"/>
      <c r="ET796" s="1293">
        <f t="shared" si="52"/>
        <v>0</v>
      </c>
      <c r="EU796" s="1294"/>
      <c r="EV796" s="1294"/>
      <c r="EW796" s="1294"/>
      <c r="EX796" s="1295"/>
    </row>
    <row r="797" spans="1:154" s="3" customFormat="1" ht="13" customHeight="1">
      <c r="A797"/>
      <c r="B797"/>
      <c r="C797"/>
      <c r="D797"/>
      <c r="E797"/>
      <c r="F797"/>
      <c r="G797"/>
      <c r="H797"/>
      <c r="I797"/>
      <c r="J797" s="1360" t="s">
        <v>1478</v>
      </c>
      <c r="K797" s="1361"/>
      <c r="L797" s="1361"/>
      <c r="M797" s="1361"/>
      <c r="N797" s="1363"/>
      <c r="O797" s="1322">
        <f>SUM(O787:S796)</f>
        <v>0</v>
      </c>
      <c r="P797" s="1322"/>
      <c r="Q797" s="1322"/>
      <c r="R797" s="1322"/>
      <c r="S797" s="1322"/>
      <c r="T797"/>
      <c r="U797"/>
      <c r="V797"/>
      <c r="W797"/>
      <c r="X797" s="711" t="s">
        <v>1479</v>
      </c>
      <c r="Y797" s="9"/>
      <c r="Z797" s="9"/>
      <c r="AA797" s="9"/>
      <c r="AB797" s="715"/>
      <c r="AC797" s="1313">
        <f>SUM(AC787:AG796)</f>
        <v>0</v>
      </c>
      <c r="AD797" s="1314"/>
      <c r="AE797" s="1314"/>
      <c r="AF797" s="1314"/>
      <c r="AG797" s="1315"/>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6">
        <f>SUM(CP787:CT796)</f>
        <v>0</v>
      </c>
      <c r="CQ797" s="1297"/>
      <c r="CR797" s="1297"/>
      <c r="CS797" s="1297"/>
      <c r="CT797" s="1298"/>
      <c r="CU797" s="1296">
        <f>SUM(CU787:CY796)</f>
        <v>0</v>
      </c>
      <c r="CV797" s="1297"/>
      <c r="CW797" s="1297"/>
      <c r="CX797" s="1297"/>
      <c r="CY797" s="1298"/>
      <c r="CZ797" s="1296">
        <f>SUM(CZ787:DD796)</f>
        <v>0</v>
      </c>
      <c r="DA797" s="1297"/>
      <c r="DB797" s="1297"/>
      <c r="DC797" s="1297"/>
      <c r="DD797" s="1298"/>
      <c r="DE797" s="1296">
        <f>SUM(DE787:DI796)</f>
        <v>0</v>
      </c>
      <c r="DF797" s="1297"/>
      <c r="DG797" s="1297"/>
      <c r="DH797" s="1297"/>
      <c r="DI797" s="1298"/>
      <c r="DJ797" s="1296">
        <f>SUM(DJ787:DN796)</f>
        <v>0</v>
      </c>
      <c r="DK797" s="1297"/>
      <c r="DL797" s="1297"/>
      <c r="DM797" s="1297"/>
      <c r="DN797" s="1298"/>
      <c r="DO797" s="1296">
        <f>SUM(DO787:DS796)</f>
        <v>0</v>
      </c>
      <c r="DP797" s="1297"/>
      <c r="DQ797" s="1297"/>
      <c r="DR797" s="1297"/>
      <c r="DS797" s="1298"/>
      <c r="DT797" s="1151"/>
      <c r="DU797" s="1296">
        <f>SUM(DU787:DY796)</f>
        <v>0</v>
      </c>
      <c r="DV797" s="1297"/>
      <c r="DW797" s="1297"/>
      <c r="DX797" s="1297"/>
      <c r="DY797" s="1298"/>
      <c r="DZ797" s="1296">
        <f>SUM(DZ787:ED796)</f>
        <v>0</v>
      </c>
      <c r="EA797" s="1297"/>
      <c r="EB797" s="1297"/>
      <c r="EC797" s="1297"/>
      <c r="ED797" s="1298"/>
      <c r="EE797" s="1296">
        <f>SUM(EE787:EI796)</f>
        <v>0</v>
      </c>
      <c r="EF797" s="1297"/>
      <c r="EG797" s="1297"/>
      <c r="EH797" s="1297"/>
      <c r="EI797" s="1298"/>
      <c r="EJ797" s="1296">
        <f>SUM(EJ787:EN796)</f>
        <v>0</v>
      </c>
      <c r="EK797" s="1297"/>
      <c r="EL797" s="1297"/>
      <c r="EM797" s="1297"/>
      <c r="EN797" s="1298"/>
      <c r="EO797" s="1296">
        <f>SUM(EO787:ES796)</f>
        <v>0</v>
      </c>
      <c r="EP797" s="1297"/>
      <c r="EQ797" s="1297"/>
      <c r="ER797" s="1297"/>
      <c r="ES797" s="1298"/>
      <c r="ET797" s="1296">
        <f>SUM(ET787:EX796)</f>
        <v>0</v>
      </c>
      <c r="EU797" s="1297"/>
      <c r="EV797" s="1297"/>
      <c r="EW797" s="1297"/>
      <c r="EX797" s="1298"/>
    </row>
    <row r="798" spans="1:154" s="3" customFormat="1" ht="13" customHeight="1">
      <c r="A798"/>
      <c r="B798"/>
      <c r="C798" s="1329" t="str">
        <f>IF(O797&lt;&gt;AG438,"! Total market rate units in the Unit Mix Table above does not match the number of  market rate units on row #"&amp;TEXT(ROW(D438),"#"),"")</f>
        <v/>
      </c>
      <c r="D798" s="1329"/>
      <c r="E798" s="1329"/>
      <c r="F798" s="1329"/>
      <c r="G798" s="1329"/>
      <c r="H798" s="1329"/>
      <c r="I798" s="1329"/>
      <c r="J798" s="1329"/>
      <c r="K798" s="1329"/>
      <c r="L798" s="1329"/>
      <c r="M798" s="1329"/>
      <c r="N798" s="1329"/>
      <c r="O798" s="1329"/>
      <c r="P798" s="1329"/>
      <c r="Q798" s="1329"/>
      <c r="R798" s="1329"/>
      <c r="S798" s="1329"/>
      <c r="T798" s="1329"/>
      <c r="U798" s="1329"/>
      <c r="V798" s="1329"/>
      <c r="W798" s="1329"/>
      <c r="X798" s="1329"/>
      <c r="Y798" s="1329"/>
      <c r="Z798" s="1329"/>
      <c r="AA798" s="1329"/>
      <c r="AB798" s="1329"/>
      <c r="AC798" s="1329"/>
      <c r="AD798" s="1329"/>
      <c r="AE798" s="1329"/>
      <c r="AF798" s="1329"/>
      <c r="AG798" s="1329"/>
      <c r="AH798" s="1329"/>
      <c r="AI798" s="1329"/>
      <c r="AJ798" s="1329"/>
      <c r="AK798" s="1329"/>
      <c r="AL798" s="1329"/>
      <c r="AM798" s="1329"/>
      <c r="AN798" s="1329"/>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3" customHeight="1">
      <c r="A799"/>
      <c r="B799"/>
      <c r="C799" s="1329"/>
      <c r="D799" s="1329"/>
      <c r="E799" s="1329"/>
      <c r="F799" s="1329"/>
      <c r="G799" s="1329"/>
      <c r="H799" s="1329"/>
      <c r="I799" s="1329"/>
      <c r="J799" s="1329"/>
      <c r="K799" s="1329"/>
      <c r="L799" s="1329"/>
      <c r="M799" s="1329"/>
      <c r="N799" s="1329"/>
      <c r="O799" s="1329"/>
      <c r="P799" s="1329"/>
      <c r="Q799" s="1329"/>
      <c r="R799" s="1329"/>
      <c r="S799" s="1329"/>
      <c r="T799" s="1329"/>
      <c r="U799" s="1329"/>
      <c r="V799" s="1329"/>
      <c r="W799" s="1329"/>
      <c r="X799" s="1329"/>
      <c r="Y799" s="1329"/>
      <c r="Z799" s="1329"/>
      <c r="AA799" s="1329"/>
      <c r="AB799" s="1329"/>
      <c r="AC799" s="1329"/>
      <c r="AD799" s="1329"/>
      <c r="AE799" s="1329"/>
      <c r="AF799" s="1329"/>
      <c r="AG799" s="1329"/>
      <c r="AH799" s="1329"/>
      <c r="AI799" s="1329"/>
      <c r="AJ799" s="1329"/>
      <c r="AK799" s="1329"/>
      <c r="AL799" s="1329"/>
      <c r="AM799" s="1329"/>
      <c r="AN799" s="1329"/>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3">
        <f>CP797+CU797+CZ797+DE797+DJ797+DO797</f>
        <v>0</v>
      </c>
      <c r="DV799" s="38" t="s">
        <v>1501</v>
      </c>
      <c r="DW799" s="2"/>
      <c r="DX799" s="2"/>
      <c r="DY799" s="2"/>
      <c r="DZ799" s="2"/>
      <c r="EA799" s="2"/>
      <c r="EB799" s="2"/>
      <c r="EC799" s="2"/>
      <c r="ED799" s="2"/>
      <c r="EE799" s="2"/>
      <c r="EF799" s="2"/>
      <c r="EG799" s="2"/>
      <c r="EH799" s="2"/>
      <c r="EI799"/>
      <c r="EJ799"/>
      <c r="EK799"/>
      <c r="EL799"/>
      <c r="EM799"/>
      <c r="EN799"/>
      <c r="EO799"/>
      <c r="EP799"/>
      <c r="EQ799"/>
      <c r="ER799"/>
      <c r="ES799" s="37" t="s">
        <v>1502</v>
      </c>
      <c r="ET799" s="1306">
        <f>SUM(DU797:EX797)</f>
        <v>0</v>
      </c>
      <c r="EU799" s="1307"/>
      <c r="EV799" s="1307"/>
      <c r="EW799" s="1307"/>
      <c r="EX799" s="1308"/>
    </row>
    <row r="800" spans="1:154" s="3" customFormat="1" ht="13" customHeight="1">
      <c r="A800"/>
      <c r="B800"/>
      <c r="C800"/>
      <c r="D800"/>
      <c r="E800"/>
      <c r="F800"/>
      <c r="G800"/>
      <c r="H800"/>
      <c r="I800"/>
      <c r="J800" s="1104"/>
      <c r="K800" s="4"/>
      <c r="L800" s="4"/>
      <c r="M800" s="4"/>
      <c r="N800" s="4"/>
      <c r="O800" s="4"/>
      <c r="P800" s="4"/>
      <c r="Q800" s="4"/>
      <c r="R800" s="4"/>
      <c r="S800" s="4"/>
      <c r="T800" s="4"/>
      <c r="U800" s="4"/>
      <c r="V800" s="4"/>
      <c r="W800" s="4"/>
      <c r="X800" s="1158" t="s">
        <v>1503</v>
      </c>
      <c r="Y800" s="1542">
        <f>O753+AC777+AC797</f>
        <v>56562.400000000001</v>
      </c>
      <c r="Z800" s="1542"/>
      <c r="AA800" s="1542"/>
      <c r="AB800" s="1542"/>
      <c r="AC800" s="1542"/>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3">
        <f>CT798+CY798+DD798+DI798+DN798+DS798</f>
        <v>0</v>
      </c>
      <c r="DV800" s="38" t="s">
        <v>1504</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3" customHeight="1">
      <c r="A801"/>
      <c r="B801"/>
      <c r="C801"/>
      <c r="D801"/>
      <c r="E801"/>
      <c r="F801"/>
      <c r="G801"/>
      <c r="H801"/>
      <c r="I801"/>
      <c r="J801" s="31"/>
      <c r="K801" s="32"/>
      <c r="L801" s="32"/>
      <c r="M801" s="32"/>
      <c r="N801" s="32"/>
      <c r="O801" s="32"/>
      <c r="P801" s="32"/>
      <c r="Q801" s="32"/>
      <c r="R801" s="32"/>
      <c r="S801" s="32"/>
      <c r="T801" s="32"/>
      <c r="U801" s="32"/>
      <c r="V801" s="32"/>
      <c r="W801" s="32"/>
      <c r="X801" s="1162" t="s">
        <v>1505</v>
      </c>
      <c r="Y801" s="1542">
        <f>(O753+AC777+AC797)*12</f>
        <v>678748.8</v>
      </c>
      <c r="Z801" s="1542"/>
      <c r="AA801" s="1542"/>
      <c r="AB801" s="1542"/>
      <c r="AC801" s="1542"/>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1506</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3"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6">
        <f>CP753+CP777+CP797</f>
        <v>0</v>
      </c>
      <c r="CQ802" s="1297"/>
      <c r="CR802" s="1297"/>
      <c r="CS802" s="1297"/>
      <c r="CT802" s="1298"/>
      <c r="CU802" s="1296">
        <f>CU753+CU777+CU797</f>
        <v>6</v>
      </c>
      <c r="CV802" s="1297"/>
      <c r="CW802" s="1297"/>
      <c r="CX802" s="1297"/>
      <c r="CY802" s="1298"/>
      <c r="CZ802" s="1296">
        <f>CZ753+CZ777+CZ797</f>
        <v>24</v>
      </c>
      <c r="DA802" s="1297"/>
      <c r="DB802" s="1297"/>
      <c r="DC802" s="1297"/>
      <c r="DD802" s="1298"/>
      <c r="DE802" s="1296">
        <f>DE753+DE777+DE797</f>
        <v>23</v>
      </c>
      <c r="DF802" s="1297"/>
      <c r="DG802" s="1297"/>
      <c r="DH802" s="1297"/>
      <c r="DI802" s="1298"/>
      <c r="DJ802" s="1296">
        <f>DJ753+DJ777+DJ797</f>
        <v>0</v>
      </c>
      <c r="DK802" s="1297"/>
      <c r="DL802" s="1297"/>
      <c r="DM802" s="1297"/>
      <c r="DN802" s="1298"/>
      <c r="DO802" s="1296">
        <f>DO797+DO777+DO753</f>
        <v>0</v>
      </c>
      <c r="DP802" s="1297"/>
      <c r="DQ802" s="1297"/>
      <c r="DR802" s="1297"/>
      <c r="DS802" s="1298"/>
      <c r="DT802" s="2"/>
      <c r="DU802" s="683">
        <f>DU755+DU800</f>
        <v>120</v>
      </c>
      <c r="DV802" s="38" t="s">
        <v>1507</v>
      </c>
    </row>
    <row r="803" spans="1:126" s="3" customFormat="1" ht="13" customHeight="1">
      <c r="A803" s="1" t="s">
        <v>1010</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3" customHeight="1">
      <c r="A804" s="1"/>
      <c r="B804" s="1"/>
      <c r="C804" s="1" t="s">
        <v>1508</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3"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3" customHeight="1">
      <c r="A806"/>
      <c r="B806"/>
      <c r="C806"/>
      <c r="D806"/>
      <c r="E806"/>
      <c r="F806"/>
      <c r="G806"/>
      <c r="H806" s="1104" t="s">
        <v>1509</v>
      </c>
      <c r="I806" s="4"/>
      <c r="J806" s="4"/>
      <c r="K806" s="4"/>
      <c r="L806" s="4"/>
      <c r="M806" s="4"/>
      <c r="N806" s="4"/>
      <c r="O806" s="4"/>
      <c r="P806" s="4"/>
      <c r="Q806" s="4"/>
      <c r="R806" s="4"/>
      <c r="S806" s="4"/>
      <c r="T806" s="4"/>
      <c r="U806" s="4"/>
      <c r="V806" s="4"/>
      <c r="W806" s="4"/>
      <c r="X806" s="4"/>
      <c r="Y806" s="4"/>
      <c r="Z806" s="1658">
        <v>25</v>
      </c>
      <c r="AA806" s="1549"/>
      <c r="AB806" s="1549"/>
      <c r="AC806" s="1549"/>
      <c r="AD806" s="1549"/>
      <c r="AE806" s="1550"/>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3" customHeight="1">
      <c r="A807"/>
      <c r="B807"/>
      <c r="C807"/>
      <c r="D807"/>
      <c r="E807"/>
      <c r="F807"/>
      <c r="G807"/>
      <c r="H807" s="1104" t="s">
        <v>1510</v>
      </c>
      <c r="I807" s="4"/>
      <c r="J807" s="4"/>
      <c r="K807" s="4"/>
      <c r="L807" s="4"/>
      <c r="M807" s="4"/>
      <c r="N807" s="4"/>
      <c r="O807" s="4"/>
      <c r="P807" s="4"/>
      <c r="Q807" s="4"/>
      <c r="R807" s="4"/>
      <c r="S807" s="4"/>
      <c r="T807" s="4"/>
      <c r="U807" s="4"/>
      <c r="V807" s="4"/>
      <c r="W807" s="4"/>
      <c r="X807" s="4"/>
      <c r="Y807" s="4"/>
      <c r="Z807" s="1548">
        <v>15</v>
      </c>
      <c r="AA807" s="1549"/>
      <c r="AB807" s="1549"/>
      <c r="AC807" s="1549"/>
      <c r="AD807" s="1549"/>
      <c r="AE807" s="1550"/>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3" customHeight="1">
      <c r="A808"/>
      <c r="B808"/>
      <c r="C808"/>
      <c r="D808"/>
      <c r="E808"/>
      <c r="F808"/>
      <c r="G808"/>
      <c r="H808" s="1104" t="s">
        <v>1511</v>
      </c>
      <c r="I808" s="4"/>
      <c r="J808" s="4"/>
      <c r="K808" s="4"/>
      <c r="L808" s="4"/>
      <c r="M808" s="4"/>
      <c r="N808" s="4"/>
      <c r="O808" s="4"/>
      <c r="P808" s="4"/>
      <c r="Q808" s="4"/>
      <c r="R808" s="4"/>
      <c r="S808" s="4"/>
      <c r="T808" s="4"/>
      <c r="U808" s="4"/>
      <c r="V808" s="4"/>
      <c r="W808" s="4"/>
      <c r="X808" s="4"/>
      <c r="Y808" s="4"/>
      <c r="Z808" s="1563">
        <v>52023</v>
      </c>
      <c r="AA808" s="1470"/>
      <c r="AB808" s="1470"/>
      <c r="AC808" s="1470"/>
      <c r="AD808" s="1470"/>
      <c r="AE808" s="1564"/>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3" customHeight="1">
      <c r="A809"/>
      <c r="B809"/>
      <c r="C809"/>
      <c r="D809"/>
      <c r="E809"/>
      <c r="F809"/>
      <c r="G809"/>
      <c r="H809" s="1104"/>
      <c r="I809" s="4"/>
      <c r="J809" s="4"/>
      <c r="K809" s="4"/>
      <c r="L809" s="4"/>
      <c r="M809" s="4"/>
      <c r="N809" s="4"/>
      <c r="O809" s="4"/>
      <c r="P809" s="4"/>
      <c r="Q809" s="4"/>
      <c r="R809" s="4"/>
      <c r="S809" s="4"/>
      <c r="T809" s="4"/>
      <c r="U809" s="4"/>
      <c r="V809" s="4"/>
      <c r="W809" s="4"/>
      <c r="X809" s="4"/>
      <c r="Y809" s="1157" t="s">
        <v>1512</v>
      </c>
      <c r="Z809" s="1424">
        <f>'Subsidy Contract Calculation'!J40</f>
        <v>698136</v>
      </c>
      <c r="AA809" s="1425"/>
      <c r="AB809" s="1425"/>
      <c r="AC809" s="1425"/>
      <c r="AD809" s="1425"/>
      <c r="AE809" s="1426"/>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3"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3" customHeight="1">
      <c r="A811" s="1" t="s">
        <v>1022</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3"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3" customHeight="1">
      <c r="A813"/>
      <c r="B813"/>
      <c r="C813"/>
      <c r="D813"/>
      <c r="E813"/>
      <c r="F813"/>
      <c r="G813"/>
      <c r="H813" s="1104" t="s">
        <v>1513</v>
      </c>
      <c r="I813" s="4"/>
      <c r="J813" s="4"/>
      <c r="K813" s="4"/>
      <c r="L813" s="4"/>
      <c r="M813" s="4"/>
      <c r="N813" s="4"/>
      <c r="O813" s="4"/>
      <c r="P813" s="4"/>
      <c r="Q813" s="4"/>
      <c r="R813" s="4"/>
      <c r="S813" s="4"/>
      <c r="T813" s="4"/>
      <c r="U813" s="4"/>
      <c r="V813" s="4"/>
      <c r="W813" s="4"/>
      <c r="X813" s="4"/>
      <c r="Y813" s="4"/>
      <c r="Z813" s="1427">
        <v>7632</v>
      </c>
      <c r="AA813" s="1299"/>
      <c r="AB813" s="1299"/>
      <c r="AC813" s="1299"/>
      <c r="AD813" s="1299"/>
      <c r="AE813" s="1300"/>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3" customHeight="1">
      <c r="A814"/>
      <c r="B814"/>
      <c r="C814"/>
      <c r="D814"/>
      <c r="E814"/>
      <c r="F814"/>
      <c r="G814"/>
      <c r="H814" s="1104" t="s">
        <v>1514</v>
      </c>
      <c r="I814" s="4"/>
      <c r="J814" s="4"/>
      <c r="K814" s="4"/>
      <c r="L814" s="4"/>
      <c r="M814" s="4"/>
      <c r="N814" s="4"/>
      <c r="O814" s="4"/>
      <c r="P814" s="4"/>
      <c r="Q814" s="4"/>
      <c r="R814" s="4"/>
      <c r="S814" s="4"/>
      <c r="T814" s="4"/>
      <c r="U814" s="4"/>
      <c r="V814" s="4"/>
      <c r="W814" s="4"/>
      <c r="X814" s="4"/>
      <c r="Y814" s="4"/>
      <c r="Z814" s="1427"/>
      <c r="AA814" s="1299"/>
      <c r="AB814" s="1299"/>
      <c r="AC814" s="1299"/>
      <c r="AD814" s="1299"/>
      <c r="AE814" s="1300"/>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3" customHeight="1">
      <c r="A815"/>
      <c r="B815"/>
      <c r="C815"/>
      <c r="D815"/>
      <c r="E815"/>
      <c r="F815"/>
      <c r="G815"/>
      <c r="H815" s="1104" t="s">
        <v>1515</v>
      </c>
      <c r="I815" s="4"/>
      <c r="J815" s="4"/>
      <c r="K815" s="4"/>
      <c r="L815" s="4"/>
      <c r="M815" s="4"/>
      <c r="N815" s="4"/>
      <c r="O815" s="4"/>
      <c r="P815" s="4"/>
      <c r="Q815" s="4"/>
      <c r="R815" s="4"/>
      <c r="S815" s="4"/>
      <c r="T815" s="4"/>
      <c r="U815" s="4"/>
      <c r="V815" s="4"/>
      <c r="W815" s="4"/>
      <c r="X815" s="4"/>
      <c r="Y815" s="4"/>
      <c r="Z815" s="1427"/>
      <c r="AA815" s="1299"/>
      <c r="AB815" s="1299"/>
      <c r="AC815" s="1299"/>
      <c r="AD815" s="1299"/>
      <c r="AE815" s="1300"/>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3" customHeight="1">
      <c r="A816"/>
      <c r="B816"/>
      <c r="C816"/>
      <c r="D816"/>
      <c r="E816"/>
      <c r="F816"/>
      <c r="G816"/>
      <c r="H816" s="1104" t="s">
        <v>1516</v>
      </c>
      <c r="I816" s="4"/>
      <c r="J816" s="4"/>
      <c r="K816" s="4"/>
      <c r="L816" s="4"/>
      <c r="M816" s="4"/>
      <c r="N816" s="4"/>
      <c r="O816" s="4"/>
      <c r="P816" s="1582" t="s">
        <v>1517</v>
      </c>
      <c r="Q816" s="1583"/>
      <c r="R816" s="1583"/>
      <c r="S816" s="1583"/>
      <c r="T816" s="1583"/>
      <c r="U816" s="1583"/>
      <c r="V816" s="1583"/>
      <c r="W816" s="1583"/>
      <c r="X816" s="1583"/>
      <c r="Y816" s="1584"/>
      <c r="Z816" s="1427">
        <v>2544</v>
      </c>
      <c r="AA816" s="1299"/>
      <c r="AB816" s="1299"/>
      <c r="AC816" s="1299"/>
      <c r="AD816" s="1299"/>
      <c r="AE816" s="1300"/>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3" customHeight="1">
      <c r="A817"/>
      <c r="B817"/>
      <c r="C817"/>
      <c r="D817"/>
      <c r="E817"/>
      <c r="F817"/>
      <c r="G817"/>
      <c r="H817" s="1104"/>
      <c r="I817" s="4"/>
      <c r="J817" s="4"/>
      <c r="K817" s="4"/>
      <c r="L817" s="4"/>
      <c r="M817" s="4"/>
      <c r="N817" s="4"/>
      <c r="O817" s="4"/>
      <c r="P817" s="4"/>
      <c r="Q817" s="4"/>
      <c r="R817" s="4"/>
      <c r="S817" s="4"/>
      <c r="T817" s="4"/>
      <c r="U817" s="4"/>
      <c r="V817" s="4"/>
      <c r="W817" s="4"/>
      <c r="X817" s="4"/>
      <c r="Y817" s="1157" t="s">
        <v>1518</v>
      </c>
      <c r="Z817" s="1424">
        <f>SUM(Z813:AE816)</f>
        <v>10176</v>
      </c>
      <c r="AA817" s="1425"/>
      <c r="AB817" s="1425"/>
      <c r="AC817" s="1425"/>
      <c r="AD817" s="1425"/>
      <c r="AE817" s="1426"/>
      <c r="AF817"/>
      <c r="AG817"/>
      <c r="AH817"/>
      <c r="AI817"/>
      <c r="AJ817"/>
      <c r="AK817"/>
      <c r="AL817"/>
      <c r="AM817"/>
      <c r="AN817"/>
      <c r="AO817"/>
      <c r="AP817"/>
      <c r="AQ817"/>
      <c r="AR817"/>
      <c r="AS817"/>
      <c r="AT817"/>
      <c r="AU817" s="2"/>
      <c r="AV817"/>
      <c r="AW817"/>
      <c r="AX817"/>
      <c r="AY817"/>
      <c r="AZ817" s="23"/>
      <c r="BA817" s="23"/>
      <c r="BB817" s="11"/>
      <c r="BC817" s="11"/>
    </row>
    <row r="818" spans="1:55" s="3" customFormat="1" ht="13" customHeight="1">
      <c r="A818"/>
      <c r="B818"/>
      <c r="C818"/>
      <c r="D818"/>
      <c r="E818"/>
      <c r="F818"/>
      <c r="G818"/>
      <c r="H818" s="1104"/>
      <c r="I818" s="4"/>
      <c r="J818" s="4"/>
      <c r="K818" s="4"/>
      <c r="L818" s="4"/>
      <c r="M818" s="4"/>
      <c r="N818" s="4"/>
      <c r="O818" s="4"/>
      <c r="P818" s="4"/>
      <c r="Q818" s="4"/>
      <c r="R818" s="4"/>
      <c r="S818" s="4"/>
      <c r="T818" s="4"/>
      <c r="U818" s="4"/>
      <c r="V818" s="4"/>
      <c r="W818" s="4"/>
      <c r="X818" s="4"/>
      <c r="Y818" s="1157" t="s">
        <v>1519</v>
      </c>
      <c r="Z818" s="1424">
        <f>Z817+Y801+Z809</f>
        <v>1387060.8</v>
      </c>
      <c r="AA818" s="1425"/>
      <c r="AB818" s="1425"/>
      <c r="AC818" s="1425"/>
      <c r="AD818" s="1425"/>
      <c r="AE818" s="1426"/>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3"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3" customHeight="1">
      <c r="A820" s="1" t="s">
        <v>1049</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3" customHeight="1">
      <c r="A821"/>
      <c r="B821"/>
      <c r="C821" s="17" t="s">
        <v>1520</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3"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3" customHeight="1">
      <c r="A823"/>
      <c r="B823"/>
      <c r="C823" s="29"/>
      <c r="D823" s="30"/>
      <c r="E823" s="30"/>
      <c r="F823" s="30"/>
      <c r="G823" s="30"/>
      <c r="H823" s="30"/>
      <c r="I823" s="30"/>
      <c r="J823" s="30"/>
      <c r="K823" s="30"/>
      <c r="L823" s="39"/>
      <c r="M823" s="1625" t="s">
        <v>1521</v>
      </c>
      <c r="N823" s="1625"/>
      <c r="O823" s="1625"/>
      <c r="P823" s="1626"/>
      <c r="Q823" s="1562" t="s">
        <v>1522</v>
      </c>
      <c r="R823" s="1562"/>
      <c r="S823" s="1562"/>
      <c r="T823" s="1562"/>
      <c r="U823" s="1562" t="s">
        <v>1523</v>
      </c>
      <c r="V823" s="1562"/>
      <c r="W823" s="1562"/>
      <c r="X823" s="1562"/>
      <c r="Y823" s="1562" t="s">
        <v>1524</v>
      </c>
      <c r="Z823" s="1562"/>
      <c r="AA823" s="1562"/>
      <c r="AB823" s="1562"/>
      <c r="AC823" s="1562" t="s">
        <v>1525</v>
      </c>
      <c r="AD823" s="1562"/>
      <c r="AE823" s="1562"/>
      <c r="AF823" s="1562"/>
      <c r="AG823" s="1557" t="s">
        <v>1526</v>
      </c>
      <c r="AH823" s="1557"/>
      <c r="AI823" s="1557"/>
      <c r="AJ823" s="1557"/>
      <c r="AK823"/>
      <c r="AL823" s="2"/>
      <c r="AM823" s="2"/>
      <c r="AN823" s="2"/>
      <c r="AO823" s="2"/>
      <c r="AP823" s="2"/>
      <c r="AQ823" s="2"/>
      <c r="AR823" s="2"/>
      <c r="AS823" s="2"/>
      <c r="AT823" s="2"/>
      <c r="AU823" s="2"/>
      <c r="AV823" s="2"/>
      <c r="AW823" s="2"/>
      <c r="AX823" s="2"/>
      <c r="AY823" s="2"/>
      <c r="AZ823" s="23"/>
      <c r="BA823" s="23"/>
      <c r="BB823" s="11"/>
      <c r="BC823" s="11"/>
    </row>
    <row r="824" spans="1:55" s="11" customFormat="1" ht="13" customHeight="1">
      <c r="A824"/>
      <c r="B824"/>
      <c r="C824" s="31"/>
      <c r="D824" s="32"/>
      <c r="E824" s="32"/>
      <c r="F824" s="32"/>
      <c r="G824" s="32"/>
      <c r="H824" s="32"/>
      <c r="I824" s="32"/>
      <c r="J824" s="32"/>
      <c r="K824" s="32"/>
      <c r="L824" s="33"/>
      <c r="M824" s="1627"/>
      <c r="N824" s="1627"/>
      <c r="O824" s="1627"/>
      <c r="P824" s="1628"/>
      <c r="Q824" s="1562"/>
      <c r="R824" s="1562"/>
      <c r="S824" s="1562"/>
      <c r="T824" s="1562"/>
      <c r="U824" s="1562"/>
      <c r="V824" s="1562"/>
      <c r="W824" s="1562"/>
      <c r="X824" s="1562"/>
      <c r="Y824" s="1562"/>
      <c r="Z824" s="1562"/>
      <c r="AA824" s="1562"/>
      <c r="AB824" s="1562"/>
      <c r="AC824" s="1562"/>
      <c r="AD824" s="1562"/>
      <c r="AE824" s="1562"/>
      <c r="AF824" s="1562"/>
      <c r="AG824" s="1557"/>
      <c r="AH824" s="1557"/>
      <c r="AI824" s="1557"/>
      <c r="AJ824" s="1557"/>
      <c r="AK824"/>
      <c r="AL824" s="2"/>
      <c r="AM824" s="2"/>
      <c r="AN824" s="2"/>
      <c r="AO824" s="2"/>
      <c r="AP824" s="2"/>
      <c r="AQ824" s="2"/>
      <c r="AR824" s="2"/>
      <c r="AS824" s="2"/>
      <c r="AT824" s="2"/>
      <c r="AU824"/>
      <c r="AV824" s="2"/>
      <c r="AW824" s="2"/>
      <c r="AX824" s="2"/>
      <c r="AY824" s="2"/>
      <c r="AZ824" s="23"/>
      <c r="BA824" s="23"/>
    </row>
    <row r="825" spans="1:55" s="11" customFormat="1" ht="13" customHeight="1">
      <c r="A825"/>
      <c r="B825"/>
      <c r="C825" s="1544" t="s">
        <v>1527</v>
      </c>
      <c r="D825" s="1435"/>
      <c r="E825" s="1435"/>
      <c r="F825" s="1435"/>
      <c r="G825" s="1435"/>
      <c r="H825" s="1435"/>
      <c r="I825" s="32"/>
      <c r="J825" s="32"/>
      <c r="K825" s="32"/>
      <c r="L825" s="33"/>
      <c r="M825" s="1541"/>
      <c r="N825" s="1541"/>
      <c r="O825" s="1541"/>
      <c r="P825" s="1541"/>
      <c r="Q825" s="1541">
        <v>48</v>
      </c>
      <c r="R825" s="1541"/>
      <c r="S825" s="1541"/>
      <c r="T825" s="1541"/>
      <c r="U825" s="1541">
        <v>61</v>
      </c>
      <c r="V825" s="1541"/>
      <c r="W825" s="1541"/>
      <c r="X825" s="1541"/>
      <c r="Y825" s="1541">
        <v>74</v>
      </c>
      <c r="Z825" s="1541"/>
      <c r="AA825" s="1541"/>
      <c r="AB825" s="1541"/>
      <c r="AC825" s="1441"/>
      <c r="AD825" s="1442"/>
      <c r="AE825" s="1442"/>
      <c r="AF825" s="1443"/>
      <c r="AG825" s="1441"/>
      <c r="AH825" s="1442"/>
      <c r="AI825" s="1442"/>
      <c r="AJ825" s="1443"/>
      <c r="AK825"/>
      <c r="AL825" s="2"/>
      <c r="AM825" s="2"/>
      <c r="AN825" s="2"/>
      <c r="AO825" s="2"/>
      <c r="AP825" s="2"/>
      <c r="AQ825" s="2"/>
      <c r="AR825" s="2"/>
      <c r="AS825" s="2"/>
      <c r="AT825" s="2"/>
      <c r="AU825"/>
      <c r="AV825" s="2"/>
      <c r="AW825" s="2"/>
      <c r="AX825" s="2"/>
      <c r="AY825" s="2"/>
      <c r="AZ825" s="23"/>
      <c r="BA825" s="23"/>
    </row>
    <row r="826" spans="1:55" s="11" customFormat="1" ht="13" customHeight="1">
      <c r="A826"/>
      <c r="B826"/>
      <c r="C826" s="1455" t="s">
        <v>1528</v>
      </c>
      <c r="D826" s="1393"/>
      <c r="E826" s="1393"/>
      <c r="F826" s="1393"/>
      <c r="G826" s="1393"/>
      <c r="H826" s="1393"/>
      <c r="I826" s="4"/>
      <c r="J826" s="4"/>
      <c r="K826" s="4"/>
      <c r="L826" s="1105"/>
      <c r="M826" s="1541"/>
      <c r="N826" s="1541"/>
      <c r="O826" s="1541"/>
      <c r="P826" s="1541"/>
      <c r="Q826" s="1541"/>
      <c r="R826" s="1541"/>
      <c r="S826" s="1541"/>
      <c r="T826" s="1541"/>
      <c r="U826" s="1541"/>
      <c r="V826" s="1541"/>
      <c r="W826" s="1541"/>
      <c r="X826" s="1541"/>
      <c r="Y826" s="1541"/>
      <c r="Z826" s="1541"/>
      <c r="AA826" s="1541"/>
      <c r="AB826" s="1541"/>
      <c r="AC826" s="1441"/>
      <c r="AD826" s="1442"/>
      <c r="AE826" s="1442"/>
      <c r="AF826" s="1443"/>
      <c r="AG826" s="1441"/>
      <c r="AH826" s="1442"/>
      <c r="AI826" s="1442"/>
      <c r="AJ826" s="1443"/>
      <c r="AK826"/>
      <c r="AL826" s="2"/>
      <c r="AM826" s="2"/>
      <c r="AN826" s="2"/>
      <c r="AO826" s="2"/>
      <c r="AP826" s="2"/>
      <c r="AQ826" s="2"/>
      <c r="AR826" s="2"/>
      <c r="AS826" s="2"/>
      <c r="AT826" s="2"/>
      <c r="AU826"/>
      <c r="AV826" s="2"/>
      <c r="AW826" s="2"/>
      <c r="AX826" s="2"/>
      <c r="AY826" s="2"/>
      <c r="AZ826" s="23"/>
      <c r="BA826" s="23"/>
    </row>
    <row r="827" spans="1:55" s="11" customFormat="1" ht="13" customHeight="1">
      <c r="A827"/>
      <c r="B827"/>
      <c r="C827" s="1455" t="s">
        <v>1529</v>
      </c>
      <c r="D827" s="1393"/>
      <c r="E827" s="1393"/>
      <c r="F827" s="1393"/>
      <c r="G827" s="1393"/>
      <c r="H827" s="1393"/>
      <c r="I827" s="1169"/>
      <c r="J827" s="1169"/>
      <c r="K827" s="1169"/>
      <c r="L827" s="1176"/>
      <c r="M827" s="1541"/>
      <c r="N827" s="1541"/>
      <c r="O827" s="1541"/>
      <c r="P827" s="1541"/>
      <c r="Q827" s="1541">
        <v>21</v>
      </c>
      <c r="R827" s="1541"/>
      <c r="S827" s="1541"/>
      <c r="T827" s="1541"/>
      <c r="U827" s="1541">
        <v>30</v>
      </c>
      <c r="V827" s="1541"/>
      <c r="W827" s="1541"/>
      <c r="X827" s="1541"/>
      <c r="Y827" s="1541">
        <v>39</v>
      </c>
      <c r="Z827" s="1541"/>
      <c r="AA827" s="1541"/>
      <c r="AB827" s="1541"/>
      <c r="AC827" s="1441"/>
      <c r="AD827" s="1442"/>
      <c r="AE827" s="1442"/>
      <c r="AF827" s="1443"/>
      <c r="AG827" s="1441"/>
      <c r="AH827" s="1442"/>
      <c r="AI827" s="1442"/>
      <c r="AJ827" s="1443"/>
      <c r="AK827"/>
      <c r="AL827" s="2"/>
      <c r="AM827" s="2"/>
      <c r="AN827" s="2"/>
      <c r="AO827" s="2"/>
      <c r="AP827" s="2"/>
      <c r="AQ827" s="2"/>
      <c r="AR827" s="2"/>
      <c r="AS827" s="2"/>
      <c r="AT827" s="2"/>
      <c r="AU827"/>
      <c r="AV827" s="2"/>
      <c r="AW827" s="2"/>
      <c r="AX827" s="2"/>
      <c r="AY827" s="2"/>
      <c r="AZ827" s="23"/>
      <c r="BA827" s="23"/>
    </row>
    <row r="828" spans="1:55" s="11" customFormat="1" ht="13" customHeight="1">
      <c r="A828"/>
      <c r="B828"/>
      <c r="C828" s="1455" t="s">
        <v>1530</v>
      </c>
      <c r="D828" s="1393"/>
      <c r="E828" s="1393"/>
      <c r="F828" s="1393"/>
      <c r="G828" s="1393"/>
      <c r="H828" s="1393"/>
      <c r="I828" s="1169"/>
      <c r="J828" s="1169"/>
      <c r="K828" s="1169"/>
      <c r="L828" s="1176"/>
      <c r="M828" s="1541"/>
      <c r="N828" s="1541"/>
      <c r="O828" s="1541"/>
      <c r="P828" s="1541"/>
      <c r="Q828" s="1541"/>
      <c r="R828" s="1541"/>
      <c r="S828" s="1541"/>
      <c r="T828" s="1541"/>
      <c r="U828" s="1541"/>
      <c r="V828" s="1541"/>
      <c r="W828" s="1541"/>
      <c r="X828" s="1541"/>
      <c r="Y828" s="1541"/>
      <c r="Z828" s="1541"/>
      <c r="AA828" s="1541"/>
      <c r="AB828" s="1541"/>
      <c r="AC828" s="1441"/>
      <c r="AD828" s="1442"/>
      <c r="AE828" s="1442"/>
      <c r="AF828" s="1443"/>
      <c r="AG828" s="1441"/>
      <c r="AH828" s="1442"/>
      <c r="AI828" s="1442"/>
      <c r="AJ828" s="1443"/>
      <c r="AK828"/>
      <c r="AL828" s="2"/>
      <c r="AM828" s="2"/>
      <c r="AN828" s="2"/>
      <c r="AO828" s="2"/>
      <c r="AP828" s="2"/>
      <c r="AQ828" s="2"/>
      <c r="AR828" s="2"/>
      <c r="AS828" s="2"/>
      <c r="AT828" s="2"/>
      <c r="AU828"/>
      <c r="AV828" s="2"/>
      <c r="AW828" s="2"/>
      <c r="AX828" s="2"/>
      <c r="AY828" s="2"/>
      <c r="AZ828" s="23"/>
      <c r="BA828" s="23"/>
    </row>
    <row r="829" spans="1:55" s="11" customFormat="1" ht="13" customHeight="1">
      <c r="A829"/>
      <c r="B829"/>
      <c r="C829" s="1455" t="s">
        <v>1531</v>
      </c>
      <c r="D829" s="1393"/>
      <c r="E829" s="1393"/>
      <c r="F829" s="1393"/>
      <c r="G829" s="1393"/>
      <c r="H829" s="1393"/>
      <c r="I829" s="1169"/>
      <c r="J829" s="1169"/>
      <c r="K829" s="1169"/>
      <c r="L829" s="1176"/>
      <c r="M829" s="1541"/>
      <c r="N829" s="1541"/>
      <c r="O829" s="1541"/>
      <c r="P829" s="1541"/>
      <c r="Q829" s="1541"/>
      <c r="R829" s="1541"/>
      <c r="S829" s="1541"/>
      <c r="T829" s="1541"/>
      <c r="U829" s="1541"/>
      <c r="V829" s="1541"/>
      <c r="W829" s="1541"/>
      <c r="X829" s="1541"/>
      <c r="Y829" s="1541"/>
      <c r="Z829" s="1541"/>
      <c r="AA829" s="1541"/>
      <c r="AB829" s="1541"/>
      <c r="AC829" s="1441"/>
      <c r="AD829" s="1442"/>
      <c r="AE829" s="1442"/>
      <c r="AF829" s="1443"/>
      <c r="AG829" s="1441"/>
      <c r="AH829" s="1442"/>
      <c r="AI829" s="1442"/>
      <c r="AJ829" s="1443"/>
      <c r="AK829"/>
      <c r="AL829" s="2"/>
      <c r="AM829" s="2"/>
      <c r="AN829" s="2"/>
      <c r="AO829" s="2"/>
      <c r="AP829" s="2"/>
      <c r="AQ829" s="2"/>
      <c r="AR829" s="2"/>
      <c r="AS829" s="2"/>
      <c r="AT829" s="2"/>
      <c r="AU829"/>
      <c r="AV829" s="2"/>
      <c r="AW829" s="2"/>
      <c r="AX829" s="2"/>
      <c r="AY829" s="2"/>
      <c r="AZ829" s="23"/>
      <c r="BA829" s="23"/>
    </row>
    <row r="830" spans="1:55" s="11" customFormat="1" ht="13" customHeight="1">
      <c r="A830"/>
      <c r="B830"/>
      <c r="C830" s="1370" t="s">
        <v>1532</v>
      </c>
      <c r="D830" s="1393"/>
      <c r="E830" s="1393"/>
      <c r="F830" s="1393"/>
      <c r="G830" s="1393"/>
      <c r="H830" s="1393"/>
      <c r="I830" s="1169"/>
      <c r="J830" s="1169"/>
      <c r="K830" s="1169"/>
      <c r="L830" s="1176"/>
      <c r="M830" s="1541"/>
      <c r="N830" s="1541"/>
      <c r="O830" s="1541"/>
      <c r="P830" s="1541"/>
      <c r="Q830" s="1541"/>
      <c r="R830" s="1541"/>
      <c r="S830" s="1541"/>
      <c r="T830" s="1541"/>
      <c r="U830" s="1541"/>
      <c r="V830" s="1541"/>
      <c r="W830" s="1541"/>
      <c r="X830" s="1541"/>
      <c r="Y830" s="1541"/>
      <c r="Z830" s="1541"/>
      <c r="AA830" s="1541"/>
      <c r="AB830" s="1541"/>
      <c r="AC830" s="1441"/>
      <c r="AD830" s="1442"/>
      <c r="AE830" s="1442"/>
      <c r="AF830" s="1443"/>
      <c r="AG830" s="1441"/>
      <c r="AH830" s="1442"/>
      <c r="AI830" s="1442"/>
      <c r="AJ830" s="1443"/>
      <c r="AK830"/>
      <c r="AL830" s="2"/>
      <c r="AM830" s="2"/>
      <c r="AN830" s="2"/>
      <c r="AO830" s="2"/>
      <c r="AP830" s="2"/>
      <c r="AQ830" s="2"/>
      <c r="AR830" s="2"/>
      <c r="AS830" s="2"/>
      <c r="AT830" s="2"/>
      <c r="AU830"/>
      <c r="AV830" s="2"/>
      <c r="AW830" s="2"/>
      <c r="AX830" s="2"/>
      <c r="AY830" s="2"/>
      <c r="AZ830" s="23"/>
      <c r="BA830" s="23"/>
    </row>
    <row r="831" spans="1:55" s="11" customFormat="1" ht="13" customHeight="1">
      <c r="A831"/>
      <c r="B831"/>
      <c r="C831" s="1168" t="s">
        <v>1533</v>
      </c>
      <c r="D831" s="1169"/>
      <c r="E831" s="1169"/>
      <c r="F831" s="1582" t="s">
        <v>1534</v>
      </c>
      <c r="G831" s="1583"/>
      <c r="H831" s="1583"/>
      <c r="I831" s="1583"/>
      <c r="J831" s="1583"/>
      <c r="K831" s="1583"/>
      <c r="L831" s="1583"/>
      <c r="M831" s="1541"/>
      <c r="N831" s="1541"/>
      <c r="O831" s="1541"/>
      <c r="P831" s="1541"/>
      <c r="Q831" s="1541">
        <v>69</v>
      </c>
      <c r="R831" s="1541"/>
      <c r="S831" s="1541"/>
      <c r="T831" s="1541"/>
      <c r="U831" s="1541">
        <v>99</v>
      </c>
      <c r="V831" s="1541"/>
      <c r="W831" s="1541"/>
      <c r="X831" s="1541"/>
      <c r="Y831" s="1541">
        <v>132</v>
      </c>
      <c r="Z831" s="1541"/>
      <c r="AA831" s="1541"/>
      <c r="AB831" s="1541"/>
      <c r="AC831" s="1441"/>
      <c r="AD831" s="1442"/>
      <c r="AE831" s="1442"/>
      <c r="AF831" s="1443"/>
      <c r="AG831" s="1441"/>
      <c r="AH831" s="1442"/>
      <c r="AI831" s="1442"/>
      <c r="AJ831" s="1443"/>
      <c r="AK831"/>
      <c r="AL831" s="2"/>
      <c r="AM831" s="2"/>
      <c r="AN831" s="2"/>
      <c r="AO831" s="2"/>
      <c r="AP831" s="2"/>
      <c r="AQ831" s="2"/>
      <c r="AR831" s="2"/>
      <c r="AS831" s="2"/>
      <c r="AT831" s="2"/>
      <c r="AU831"/>
      <c r="AV831" s="2"/>
      <c r="AW831" s="2"/>
      <c r="AX831" s="2"/>
      <c r="AY831" s="2"/>
      <c r="AZ831" s="23"/>
      <c r="BA831" s="23"/>
    </row>
    <row r="832" spans="1:55" s="11" customFormat="1" ht="13" customHeight="1">
      <c r="A832"/>
      <c r="B832"/>
      <c r="C832" s="1360" t="s">
        <v>1479</v>
      </c>
      <c r="D832" s="1361"/>
      <c r="E832" s="1361"/>
      <c r="F832" s="1361"/>
      <c r="G832" s="1361"/>
      <c r="H832" s="1361"/>
      <c r="I832" s="1361"/>
      <c r="J832" s="1361"/>
      <c r="K832" s="1361"/>
      <c r="L832" s="1363"/>
      <c r="M832" s="1589">
        <f>SUM(M825:P831)</f>
        <v>0</v>
      </c>
      <c r="N832" s="1589"/>
      <c r="O832" s="1589"/>
      <c r="P832" s="1589"/>
      <c r="Q832" s="1589">
        <f>SUM(Q825:T831)</f>
        <v>138</v>
      </c>
      <c r="R832" s="1589"/>
      <c r="S832" s="1589"/>
      <c r="T832" s="1589"/>
      <c r="U832" s="1589">
        <f>SUM(U825:X831)</f>
        <v>190</v>
      </c>
      <c r="V832" s="1589"/>
      <c r="W832" s="1589"/>
      <c r="X832" s="1589"/>
      <c r="Y832" s="1589">
        <f>SUM(Y825:AB831)</f>
        <v>245</v>
      </c>
      <c r="Z832" s="1589"/>
      <c r="AA832" s="1589"/>
      <c r="AB832" s="1589"/>
      <c r="AC832" s="1589">
        <f>SUM(AC825:AF831)</f>
        <v>0</v>
      </c>
      <c r="AD832" s="1589"/>
      <c r="AE832" s="1589"/>
      <c r="AF832" s="1589"/>
      <c r="AG832" s="1589">
        <f>SUM(AG825:AJ831)</f>
        <v>0</v>
      </c>
      <c r="AH832" s="1589"/>
      <c r="AI832" s="1589"/>
      <c r="AJ832" s="1589"/>
      <c r="AK832"/>
      <c r="AL832" s="2"/>
      <c r="AM832" s="2"/>
      <c r="AN832" s="2"/>
      <c r="AO832" s="2"/>
      <c r="AP832" s="2"/>
      <c r="AQ832" s="2"/>
      <c r="AR832" s="2"/>
      <c r="AS832" s="2"/>
      <c r="AT832" s="2"/>
      <c r="AU832"/>
      <c r="AV832" s="2"/>
      <c r="AW832" s="2"/>
      <c r="AX832" s="2"/>
      <c r="AY832" s="2"/>
      <c r="AZ832" s="23"/>
      <c r="BA832" s="23"/>
    </row>
    <row r="833" spans="1:64" s="11" customFormat="1" ht="13" customHeight="1">
      <c r="A833"/>
      <c r="B833"/>
      <c r="C833" s="38" t="s">
        <v>1535</v>
      </c>
      <c r="D833" s="37"/>
      <c r="E833" s="37"/>
      <c r="F833" s="37"/>
      <c r="G833" s="37"/>
      <c r="H833" s="37"/>
      <c r="I833" s="37"/>
      <c r="J833" s="37"/>
      <c r="K833" s="37"/>
      <c r="L833" s="37"/>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c r="AL833" s="2"/>
      <c r="AM833" s="2"/>
      <c r="AN833" s="2"/>
      <c r="AO833" s="2"/>
      <c r="AP833" s="2"/>
      <c r="AQ833" s="2"/>
      <c r="AR833" s="2"/>
      <c r="AS833" s="2"/>
      <c r="AT833" s="2"/>
      <c r="AU833"/>
      <c r="AV833" s="2"/>
      <c r="AW833" s="2"/>
      <c r="AX833" s="2"/>
      <c r="AY833" s="2"/>
      <c r="AZ833" s="23"/>
      <c r="BA833" s="23"/>
    </row>
    <row r="834" spans="1:64" s="11" customFormat="1" ht="13" customHeight="1">
      <c r="A834"/>
      <c r="B834"/>
      <c r="C834" s="38" t="s">
        <v>1536</v>
      </c>
      <c r="D834" s="37"/>
      <c r="E834" s="37"/>
      <c r="F834" s="37"/>
      <c r="G834" s="37"/>
      <c r="H834" s="37"/>
      <c r="I834" s="37"/>
      <c r="J834" s="37"/>
      <c r="K834" s="37"/>
      <c r="L834" s="37"/>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c r="AL834" s="2"/>
      <c r="AM834" s="2"/>
      <c r="AN834" s="2"/>
      <c r="AO834" s="2"/>
      <c r="AP834" s="2"/>
      <c r="AQ834" s="2"/>
      <c r="AR834" s="2"/>
      <c r="AS834" s="2"/>
      <c r="AT834" s="2"/>
      <c r="AU834"/>
      <c r="AV834"/>
      <c r="AW834"/>
      <c r="AX834"/>
      <c r="AY834"/>
      <c r="AZ834" s="23"/>
      <c r="BA834" s="23"/>
    </row>
    <row r="835" spans="1:64" s="11" customFormat="1" ht="13" customHeight="1">
      <c r="A835"/>
      <c r="B835"/>
      <c r="C835" s="37"/>
      <c r="D835" s="37"/>
      <c r="E835" s="37"/>
      <c r="F835" s="37"/>
      <c r="G835" s="37"/>
      <c r="H835" s="37"/>
      <c r="I835" s="37"/>
      <c r="J835" s="37"/>
      <c r="K835" s="37"/>
      <c r="L835" s="37"/>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c r="AL835" s="2"/>
      <c r="AM835" s="2"/>
      <c r="AN835" s="2"/>
      <c r="AO835" s="2"/>
      <c r="AP835" s="2"/>
      <c r="AQ835" s="2"/>
      <c r="AR835" s="2"/>
      <c r="AS835" s="2"/>
      <c r="AT835" s="2"/>
      <c r="AU835"/>
      <c r="AV835"/>
      <c r="AW835"/>
      <c r="AX835"/>
      <c r="AY835"/>
      <c r="AZ835" s="23"/>
      <c r="BA835" s="23"/>
    </row>
    <row r="836" spans="1:64" s="11" customFormat="1" ht="13" customHeight="1">
      <c r="A836"/>
      <c r="B836"/>
      <c r="C836" s="1" t="s">
        <v>1537</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3" customHeight="1">
      <c r="A837"/>
      <c r="B837"/>
      <c r="C837" s="1595" t="s">
        <v>1538</v>
      </c>
      <c r="D837" s="1596"/>
      <c r="E837" s="1596"/>
      <c r="F837" s="1596"/>
      <c r="G837" s="1596"/>
      <c r="H837" s="1596"/>
      <c r="I837" s="1596"/>
      <c r="J837" s="1596"/>
      <c r="K837" s="1596"/>
      <c r="L837" s="1596"/>
      <c r="M837" s="1596"/>
      <c r="N837" s="1596"/>
      <c r="O837" s="1596"/>
      <c r="P837" s="1596"/>
      <c r="Q837" s="1596"/>
      <c r="R837" s="1596"/>
      <c r="S837" s="1596"/>
      <c r="T837" s="1596"/>
      <c r="U837" s="1596"/>
      <c r="V837" s="1596"/>
      <c r="W837" s="1596"/>
      <c r="X837" s="1596"/>
      <c r="Y837" s="1596"/>
      <c r="Z837" s="1596"/>
      <c r="AA837" s="1596"/>
      <c r="AB837" s="1596"/>
      <c r="AC837" s="1596"/>
      <c r="AD837" s="1596"/>
      <c r="AE837" s="1596"/>
      <c r="AF837" s="1596"/>
      <c r="AG837" s="1596"/>
      <c r="AH837" s="1596"/>
      <c r="AI837" s="1596"/>
      <c r="AJ837" s="1597"/>
      <c r="AK837"/>
      <c r="AL837" s="2"/>
      <c r="AM837" s="2"/>
      <c r="AN837" s="2"/>
      <c r="AO837" s="2"/>
      <c r="AP837" s="2"/>
      <c r="AQ837" s="2"/>
      <c r="AR837" s="2"/>
      <c r="AS837" s="2"/>
      <c r="AT837" s="2"/>
      <c r="AU837"/>
      <c r="AV837"/>
      <c r="AW837"/>
      <c r="AX837"/>
      <c r="AY837"/>
      <c r="AZ837" s="23"/>
      <c r="BA837" s="23"/>
    </row>
    <row r="838" spans="1:64" s="11" customFormat="1" ht="13" customHeight="1">
      <c r="A838"/>
      <c r="B838" s="2"/>
      <c r="C838" s="2" t="s">
        <v>1539</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3" customHeight="1">
      <c r="A840" s="1" t="s">
        <v>1112</v>
      </c>
      <c r="B840"/>
      <c r="C840" s="1" t="s">
        <v>1540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2"/>
      <c r="BJ841" s="1602"/>
      <c r="BK841" s="1602"/>
      <c r="BL841" s="1602"/>
    </row>
    <row r="842" spans="1:64" s="11" customFormat="1" ht="13" customHeight="1">
      <c r="A842"/>
      <c r="B842"/>
      <c r="C842" s="1" t="s">
        <v>1541</v>
      </c>
      <c r="D842"/>
      <c r="E842"/>
      <c r="F842"/>
      <c r="G842"/>
      <c r="H842"/>
      <c r="I842"/>
      <c r="J842" s="1104" t="s">
        <v>1542</v>
      </c>
      <c r="K842" s="4"/>
      <c r="L842" s="4"/>
      <c r="M842" s="4"/>
      <c r="N842" s="4"/>
      <c r="O842" s="4"/>
      <c r="P842" s="4"/>
      <c r="Q842" s="4"/>
      <c r="R842" s="4"/>
      <c r="S842" s="4"/>
      <c r="T842" s="4"/>
      <c r="U842" s="4"/>
      <c r="V842" s="1105"/>
      <c r="W842" s="1578">
        <v>10000</v>
      </c>
      <c r="X842" s="1578"/>
      <c r="Y842" s="1578"/>
      <c r="Z842" s="1578"/>
      <c r="AA842" s="1578"/>
      <c r="AB842" s="1578"/>
      <c r="AC842" s="1578"/>
      <c r="AD842"/>
      <c r="AE842"/>
      <c r="AF842"/>
      <c r="AG842"/>
      <c r="AH842"/>
      <c r="AI842"/>
      <c r="AJ842"/>
      <c r="AK842"/>
      <c r="AL842"/>
      <c r="AM842"/>
      <c r="AN842"/>
      <c r="AO842"/>
      <c r="AP842"/>
      <c r="AQ842"/>
      <c r="AR842"/>
      <c r="AS842"/>
      <c r="AT842"/>
      <c r="AU842"/>
      <c r="AV842"/>
      <c r="AW842"/>
      <c r="AX842"/>
      <c r="AY842"/>
      <c r="AZ842" s="23"/>
      <c r="BA842" s="23"/>
    </row>
    <row r="843" spans="1:64" s="11" customFormat="1" ht="13" customHeight="1">
      <c r="A843"/>
      <c r="B843"/>
      <c r="C843"/>
      <c r="D843"/>
      <c r="E843"/>
      <c r="F843"/>
      <c r="G843"/>
      <c r="H843"/>
      <c r="I843"/>
      <c r="J843" s="1104" t="s">
        <v>1543</v>
      </c>
      <c r="K843" s="4"/>
      <c r="L843" s="4"/>
      <c r="M843" s="4"/>
      <c r="N843" s="4"/>
      <c r="O843" s="4"/>
      <c r="P843" s="4"/>
      <c r="Q843" s="4"/>
      <c r="R843" s="4"/>
      <c r="S843" s="4"/>
      <c r="T843" s="4"/>
      <c r="U843" s="4"/>
      <c r="V843" s="1105"/>
      <c r="W843" s="1578">
        <v>20000</v>
      </c>
      <c r="X843" s="1578"/>
      <c r="Y843" s="1578"/>
      <c r="Z843" s="1578"/>
      <c r="AA843" s="1578"/>
      <c r="AB843" s="1578"/>
      <c r="AC843" s="1578"/>
      <c r="AD843"/>
      <c r="AE843"/>
      <c r="AF843"/>
      <c r="AG843"/>
      <c r="AH843"/>
      <c r="AI843"/>
      <c r="AJ843"/>
      <c r="AK843"/>
      <c r="AL843"/>
      <c r="AM843"/>
      <c r="AN843"/>
      <c r="AO843"/>
      <c r="AP843"/>
      <c r="AQ843"/>
      <c r="AR843"/>
      <c r="AS843"/>
      <c r="AT843"/>
      <c r="AU843"/>
      <c r="AV843"/>
      <c r="AW843"/>
      <c r="AX843"/>
      <c r="AY843"/>
      <c r="AZ843" s="23"/>
      <c r="BA843" s="23"/>
    </row>
    <row r="844" spans="1:64" ht="13" customHeight="1">
      <c r="J844" s="1104" t="s">
        <v>1544</v>
      </c>
      <c r="K844" s="4"/>
      <c r="L844" s="4"/>
      <c r="M844" s="4"/>
      <c r="N844" s="4"/>
      <c r="O844" s="4"/>
      <c r="P844" s="4"/>
      <c r="Q844" s="4"/>
      <c r="R844" s="4"/>
      <c r="S844" s="4"/>
      <c r="T844" s="4"/>
      <c r="U844" s="4"/>
      <c r="V844" s="1105"/>
      <c r="W844" s="1578">
        <v>13000</v>
      </c>
      <c r="X844" s="1578"/>
      <c r="Y844" s="1578"/>
      <c r="Z844" s="1578"/>
      <c r="AA844" s="1578"/>
      <c r="AB844" s="1578"/>
      <c r="AC844" s="1578"/>
      <c r="AZ844" s="23"/>
      <c r="BA844" s="23"/>
      <c r="BB844" s="11"/>
      <c r="BC844" s="11"/>
      <c r="BD844" s="11"/>
      <c r="BE844" s="11"/>
      <c r="BF844" s="11"/>
      <c r="BG844" s="11"/>
      <c r="BH844" s="11"/>
      <c r="BI844" s="11"/>
      <c r="BJ844" s="11"/>
      <c r="BK844" s="11"/>
      <c r="BL844" s="11"/>
    </row>
    <row r="845" spans="1:64" ht="13" customHeight="1">
      <c r="J845" s="1104" t="s">
        <v>1545</v>
      </c>
      <c r="K845" s="4"/>
      <c r="L845" s="4"/>
      <c r="M845" s="4"/>
      <c r="N845" s="4"/>
      <c r="O845" s="4"/>
      <c r="P845" s="4"/>
      <c r="Q845" s="4"/>
      <c r="R845" s="4"/>
      <c r="S845" s="4"/>
      <c r="T845" s="4"/>
      <c r="U845" s="4"/>
      <c r="V845" s="1105"/>
      <c r="W845" s="1578"/>
      <c r="X845" s="1578"/>
      <c r="Y845" s="1578"/>
      <c r="Z845" s="1578"/>
      <c r="AA845" s="1578"/>
      <c r="AB845" s="1578"/>
      <c r="AC845" s="1578"/>
      <c r="AZ845" s="23"/>
      <c r="BA845" s="23"/>
      <c r="BB845" s="11"/>
      <c r="BC845" s="11"/>
      <c r="BD845" s="11"/>
      <c r="BE845" s="11"/>
      <c r="BF845" s="11"/>
      <c r="BG845" s="11"/>
      <c r="BH845" s="11"/>
      <c r="BI845" s="11"/>
      <c r="BJ845" s="11"/>
      <c r="BK845" s="11"/>
      <c r="BL845" s="11"/>
    </row>
    <row r="846" spans="1:64" ht="13" customHeight="1">
      <c r="J846" s="1104" t="s">
        <v>233</v>
      </c>
      <c r="K846" s="4"/>
      <c r="L846" s="4"/>
      <c r="M846" s="1582" t="s">
        <v>1546</v>
      </c>
      <c r="N846" s="1583"/>
      <c r="O846" s="1583"/>
      <c r="P846" s="1583"/>
      <c r="Q846" s="1583"/>
      <c r="R846" s="1583"/>
      <c r="S846" s="1583"/>
      <c r="T846" s="1583"/>
      <c r="U846" s="1583"/>
      <c r="V846" s="1584"/>
      <c r="W846" s="1578">
        <v>13000</v>
      </c>
      <c r="X846" s="1578"/>
      <c r="Y846" s="1578"/>
      <c r="Z846" s="1578"/>
      <c r="AA846" s="1578"/>
      <c r="AB846" s="1578"/>
      <c r="AC846" s="1578"/>
      <c r="AZ846" s="23"/>
      <c r="BA846" s="23"/>
      <c r="BB846" s="11"/>
      <c r="BC846" s="11"/>
      <c r="BD846" s="11"/>
      <c r="BE846" s="11"/>
      <c r="BF846" s="11"/>
      <c r="BG846" s="11"/>
      <c r="BH846" s="11"/>
      <c r="BI846" s="11"/>
      <c r="BJ846" s="11"/>
      <c r="BK846" s="11"/>
      <c r="BL846" s="11"/>
    </row>
    <row r="847" spans="1:64" ht="13" customHeight="1">
      <c r="J847" s="1104"/>
      <c r="K847" s="4"/>
      <c r="L847" s="4"/>
      <c r="M847" s="4"/>
      <c r="N847" s="4"/>
      <c r="O847" s="4"/>
      <c r="P847" s="4"/>
      <c r="Q847" s="4"/>
      <c r="R847" s="4"/>
      <c r="S847" s="4"/>
      <c r="T847" s="4"/>
      <c r="U847" s="4"/>
      <c r="V847" s="1158" t="s">
        <v>1547</v>
      </c>
      <c r="W847" s="1424">
        <f>SUM(W842:AC846)</f>
        <v>56000</v>
      </c>
      <c r="X847" s="1425"/>
      <c r="Y847" s="1425"/>
      <c r="Z847" s="1425"/>
      <c r="AA847" s="1425"/>
      <c r="AB847" s="1425"/>
      <c r="AC847" s="1426"/>
      <c r="AZ847" s="23"/>
      <c r="BA847" s="23"/>
      <c r="BB847" s="11"/>
      <c r="BC847" s="11"/>
      <c r="BD847" s="11"/>
      <c r="BE847" s="11"/>
      <c r="BF847" s="11"/>
      <c r="BG847" s="11"/>
      <c r="BH847" s="11"/>
      <c r="BI847" s="11"/>
      <c r="BJ847" s="11"/>
      <c r="BK847" s="11"/>
      <c r="BL847" s="11"/>
    </row>
    <row r="848" spans="1:64" ht="13" customHeight="1">
      <c r="AZ848" s="23"/>
      <c r="BA848" s="23"/>
      <c r="BB848" s="11"/>
      <c r="BC848" s="11"/>
      <c r="BD848" s="11"/>
      <c r="BE848" s="11"/>
      <c r="BF848" s="11"/>
      <c r="BG848" s="1574"/>
      <c r="BH848" s="1574"/>
      <c r="BI848" s="1574"/>
      <c r="BJ848" s="1574"/>
      <c r="BK848" s="1574"/>
      <c r="BL848" s="1574"/>
    </row>
    <row r="849" spans="3:55" ht="13" customHeight="1">
      <c r="C849" s="1" t="s">
        <v>1548</v>
      </c>
      <c r="J849" s="1360" t="s">
        <v>1549</v>
      </c>
      <c r="K849" s="1361"/>
      <c r="L849" s="1361"/>
      <c r="M849" s="1361"/>
      <c r="N849" s="1361"/>
      <c r="O849" s="1361"/>
      <c r="P849" s="1361"/>
      <c r="Q849" s="1361"/>
      <c r="R849" s="1361"/>
      <c r="S849" s="1361"/>
      <c r="T849" s="1361"/>
      <c r="U849" s="1361"/>
      <c r="V849" s="1363"/>
      <c r="W849" s="1427">
        <v>45400</v>
      </c>
      <c r="X849" s="1299"/>
      <c r="Y849" s="1299"/>
      <c r="Z849" s="1299"/>
      <c r="AA849" s="1299"/>
      <c r="AB849" s="1299"/>
      <c r="AC849" s="1300"/>
      <c r="AD849" s="382"/>
      <c r="AZ849" s="23"/>
      <c r="BA849" s="23"/>
      <c r="BB849" s="11"/>
      <c r="BC849" s="11"/>
    </row>
    <row r="850" spans="3:55" ht="13" customHeight="1">
      <c r="AD850" s="382"/>
      <c r="AZ850" s="23"/>
      <c r="BA850" s="23"/>
      <c r="BB850" s="11"/>
      <c r="BC850" s="11"/>
    </row>
    <row r="851" spans="3:55" ht="13" customHeight="1">
      <c r="C851" s="1" t="s">
        <v>230</v>
      </c>
      <c r="J851" s="1104" t="s">
        <v>1550</v>
      </c>
      <c r="K851" s="4"/>
      <c r="L851" s="4"/>
      <c r="M851" s="4"/>
      <c r="N851" s="4"/>
      <c r="O851" s="4"/>
      <c r="P851" s="4"/>
      <c r="Q851" s="4"/>
      <c r="R851" s="4"/>
      <c r="S851" s="4"/>
      <c r="T851" s="4"/>
      <c r="U851" s="4"/>
      <c r="V851" s="1105"/>
      <c r="W851" s="1593">
        <v>0</v>
      </c>
      <c r="X851" s="1593"/>
      <c r="Y851" s="1593"/>
      <c r="Z851" s="1593"/>
      <c r="AA851" s="1593"/>
      <c r="AB851" s="1593"/>
      <c r="AC851" s="1593"/>
      <c r="AZ851" s="1561"/>
      <c r="BA851" s="1561"/>
      <c r="BB851" s="11"/>
      <c r="BC851" s="11"/>
    </row>
    <row r="852" spans="3:55" ht="13" customHeight="1">
      <c r="J852" s="1104" t="s">
        <v>1551</v>
      </c>
      <c r="K852" s="4"/>
      <c r="L852" s="4"/>
      <c r="M852" s="4"/>
      <c r="N852" s="4"/>
      <c r="O852" s="4"/>
      <c r="P852" s="4"/>
      <c r="Q852" s="4"/>
      <c r="R852" s="4"/>
      <c r="S852" s="4"/>
      <c r="T852" s="4"/>
      <c r="U852" s="4"/>
      <c r="V852" s="1105"/>
      <c r="W852" s="1593">
        <v>0</v>
      </c>
      <c r="X852" s="1593"/>
      <c r="Y852" s="1593"/>
      <c r="Z852" s="1593"/>
      <c r="AA852" s="1593"/>
      <c r="AB852" s="1593"/>
      <c r="AC852" s="1593"/>
      <c r="AZ852" s="23"/>
      <c r="BA852" s="23"/>
      <c r="BB852" s="11"/>
      <c r="BC852" s="11"/>
    </row>
    <row r="853" spans="3:55" ht="13" customHeight="1">
      <c r="J853" s="1104" t="s">
        <v>1531</v>
      </c>
      <c r="K853" s="4"/>
      <c r="L853" s="4"/>
      <c r="M853" s="4"/>
      <c r="N853" s="4"/>
      <c r="O853" s="4"/>
      <c r="P853" s="4"/>
      <c r="Q853" s="4"/>
      <c r="R853" s="4"/>
      <c r="S853" s="4"/>
      <c r="T853" s="4"/>
      <c r="U853" s="4"/>
      <c r="V853" s="1105"/>
      <c r="W853" s="1593">
        <v>26300</v>
      </c>
      <c r="X853" s="1593"/>
      <c r="Y853" s="1593"/>
      <c r="Z853" s="1593"/>
      <c r="AA853" s="1593"/>
      <c r="AB853" s="1593"/>
      <c r="AC853" s="1593"/>
      <c r="AZ853" s="23"/>
      <c r="BA853" s="23"/>
      <c r="BB853" s="11"/>
      <c r="BC853" s="11"/>
    </row>
    <row r="854" spans="3:55" ht="13" customHeight="1">
      <c r="J854" s="1055" t="s">
        <v>1552</v>
      </c>
      <c r="K854" s="4"/>
      <c r="L854" s="4"/>
      <c r="M854" s="4"/>
      <c r="N854" s="4"/>
      <c r="O854" s="4"/>
      <c r="P854" s="4"/>
      <c r="Q854" s="4"/>
      <c r="R854" s="4"/>
      <c r="S854" s="4"/>
      <c r="T854" s="4"/>
      <c r="U854" s="4"/>
      <c r="V854" s="1105"/>
      <c r="W854" s="1593">
        <v>24000</v>
      </c>
      <c r="X854" s="1593"/>
      <c r="Y854" s="1593"/>
      <c r="Z854" s="1593"/>
      <c r="AA854" s="1593"/>
      <c r="AB854" s="1593"/>
      <c r="AC854" s="1593"/>
      <c r="AZ854" s="2"/>
      <c r="BA854" s="2"/>
      <c r="BB854" s="2"/>
      <c r="BC854" s="2"/>
    </row>
    <row r="855" spans="3:55" ht="13" customHeight="1">
      <c r="J855" s="40"/>
      <c r="K855" s="32"/>
      <c r="L855" s="32"/>
      <c r="M855" s="32"/>
      <c r="N855" s="32"/>
      <c r="O855" s="32"/>
      <c r="P855" s="32"/>
      <c r="Q855" s="32"/>
      <c r="R855" s="32"/>
      <c r="S855" s="32"/>
      <c r="T855" s="32"/>
      <c r="U855" s="32"/>
      <c r="V855" s="1158" t="s">
        <v>1553</v>
      </c>
      <c r="W855" s="1594">
        <f>SUM(W851:AC854)</f>
        <v>50300</v>
      </c>
      <c r="X855" s="1594"/>
      <c r="Y855" s="1594"/>
      <c r="Z855" s="1594"/>
      <c r="AA855" s="1594"/>
      <c r="AB855" s="1594"/>
      <c r="AC855" s="1594"/>
      <c r="AZ855" s="2"/>
      <c r="BA855" s="2"/>
      <c r="BB855" s="2"/>
      <c r="BC855" s="2"/>
    </row>
    <row r="856" spans="3:55" ht="13" customHeight="1">
      <c r="AZ856" s="2"/>
      <c r="BA856" s="2"/>
      <c r="BB856" s="2"/>
      <c r="BC856" s="2"/>
    </row>
    <row r="857" spans="3:55" ht="13" customHeight="1">
      <c r="C857" s="1" t="s">
        <v>1554</v>
      </c>
      <c r="J857" s="1104" t="s">
        <v>1555</v>
      </c>
      <c r="K857" s="4"/>
      <c r="L857" s="4"/>
      <c r="M857" s="4"/>
      <c r="N857" s="4"/>
      <c r="O857" s="4"/>
      <c r="P857" s="4"/>
      <c r="Q857" s="4"/>
      <c r="R857" s="4"/>
      <c r="S857" s="4"/>
      <c r="T857" s="4"/>
      <c r="U857" s="4"/>
      <c r="V857" s="1105"/>
      <c r="W857" s="1590">
        <v>58200</v>
      </c>
      <c r="X857" s="1591"/>
      <c r="Y857" s="1591"/>
      <c r="Z857" s="1591"/>
      <c r="AA857" s="1591"/>
      <c r="AB857" s="1591"/>
      <c r="AC857" s="1592"/>
      <c r="AD857" s="377"/>
      <c r="AZ857" s="2"/>
      <c r="BA857" s="2"/>
      <c r="BB857" s="2"/>
      <c r="BC857" s="2"/>
    </row>
    <row r="858" spans="3:55" ht="13" customHeight="1">
      <c r="C858" s="1" t="s">
        <v>1556</v>
      </c>
      <c r="J858" s="1106" t="s">
        <v>1557</v>
      </c>
      <c r="K858" s="4"/>
      <c r="L858" s="4"/>
      <c r="M858" s="4"/>
      <c r="N858" s="4"/>
      <c r="O858" s="4"/>
      <c r="P858" s="4"/>
      <c r="Q858" s="4"/>
      <c r="R858" s="4"/>
      <c r="S858" s="4"/>
      <c r="T858" s="1576"/>
      <c r="U858" s="1540"/>
      <c r="V858" s="1577"/>
      <c r="W858" s="1109"/>
      <c r="X858" s="1110"/>
      <c r="Y858" s="1110"/>
      <c r="Z858" s="1110"/>
      <c r="AA858" s="1110"/>
      <c r="AB858" s="1110"/>
      <c r="AC858" s="1111"/>
      <c r="AD858" s="377"/>
      <c r="AZ858" s="2"/>
      <c r="BA858" s="2"/>
      <c r="BB858" s="2"/>
      <c r="BC858" s="2"/>
    </row>
    <row r="859" spans="3:55" ht="13" customHeight="1">
      <c r="C859" s="1"/>
      <c r="J859" s="1104" t="s">
        <v>1558</v>
      </c>
      <c r="K859" s="4"/>
      <c r="L859" s="4"/>
      <c r="M859" s="4"/>
      <c r="N859" s="4"/>
      <c r="O859" s="4"/>
      <c r="P859" s="4"/>
      <c r="Q859" s="4"/>
      <c r="R859" s="4"/>
      <c r="S859" s="4"/>
      <c r="T859" s="4"/>
      <c r="U859" s="4"/>
      <c r="V859" s="1105"/>
      <c r="W859" s="1590">
        <v>40000</v>
      </c>
      <c r="X859" s="1591"/>
      <c r="Y859" s="1591"/>
      <c r="Z859" s="1591"/>
      <c r="AA859" s="1591"/>
      <c r="AB859" s="1591"/>
      <c r="AC859" s="1592"/>
      <c r="AD859" s="382"/>
      <c r="AZ859" s="2"/>
      <c r="BA859" s="2"/>
      <c r="BB859" s="2"/>
      <c r="BC859" s="2"/>
    </row>
    <row r="860" spans="3:55" ht="13" customHeight="1">
      <c r="C860" s="1"/>
      <c r="J860" s="1106" t="s">
        <v>1559</v>
      </c>
      <c r="K860" s="4"/>
      <c r="L860" s="4"/>
      <c r="M860" s="4"/>
      <c r="N860" s="4"/>
      <c r="O860" s="4"/>
      <c r="P860" s="4"/>
      <c r="Q860" s="4"/>
      <c r="R860" s="4"/>
      <c r="S860" s="4"/>
      <c r="T860" s="1576"/>
      <c r="U860" s="1540"/>
      <c r="V860" s="1577"/>
      <c r="W860" s="1109"/>
      <c r="X860" s="1110"/>
      <c r="Y860" s="1110"/>
      <c r="Z860" s="1110"/>
      <c r="AA860" s="1110"/>
      <c r="AB860" s="1110"/>
      <c r="AC860" s="1111"/>
      <c r="AD860" s="382"/>
      <c r="AZ860" s="2"/>
      <c r="BA860" s="2"/>
      <c r="BB860" s="2"/>
      <c r="BC860" s="2"/>
    </row>
    <row r="861" spans="3:55" ht="13" customHeight="1">
      <c r="J861" s="1104" t="s">
        <v>233</v>
      </c>
      <c r="K861" s="4"/>
      <c r="L861" s="4"/>
      <c r="M861" s="1582" t="s">
        <v>1560</v>
      </c>
      <c r="N861" s="1583"/>
      <c r="O861" s="1583"/>
      <c r="P861" s="1583"/>
      <c r="Q861" s="1583"/>
      <c r="R861" s="1583"/>
      <c r="S861" s="1583"/>
      <c r="T861" s="1583"/>
      <c r="U861" s="1583"/>
      <c r="V861" s="1584"/>
      <c r="W861" s="1590">
        <v>30000</v>
      </c>
      <c r="X861" s="1591"/>
      <c r="Y861" s="1591"/>
      <c r="Z861" s="1591"/>
      <c r="AA861" s="1591"/>
      <c r="AB861" s="1591"/>
      <c r="AC861" s="1592"/>
      <c r="AD861" s="377"/>
      <c r="AU861" s="11"/>
      <c r="AZ861" s="2"/>
      <c r="BA861" s="2"/>
      <c r="BB861" s="2"/>
      <c r="BC861" s="2"/>
    </row>
    <row r="862" spans="3:55" ht="13" customHeight="1">
      <c r="J862" s="1104"/>
      <c r="K862" s="4"/>
      <c r="L862" s="4"/>
      <c r="M862" s="4"/>
      <c r="N862" s="4"/>
      <c r="O862" s="4"/>
      <c r="P862" s="4"/>
      <c r="Q862" s="4"/>
      <c r="R862" s="4"/>
      <c r="S862" s="4"/>
      <c r="T862" s="4"/>
      <c r="U862" s="4"/>
      <c r="V862" s="1158" t="s">
        <v>1561</v>
      </c>
      <c r="W862" s="1579">
        <f>SUM(W857:AC861)</f>
        <v>128200</v>
      </c>
      <c r="X862" s="1580"/>
      <c r="Y862" s="1580"/>
      <c r="Z862" s="1580"/>
      <c r="AA862" s="1580"/>
      <c r="AB862" s="1580"/>
      <c r="AC862" s="1581"/>
      <c r="AD862" s="382"/>
      <c r="AU862" s="11"/>
      <c r="AZ862" s="2"/>
      <c r="BA862" s="2"/>
      <c r="BB862" s="2"/>
      <c r="BC862" s="2"/>
    </row>
    <row r="863" spans="3:55" ht="13" customHeight="1">
      <c r="J863" s="1104"/>
      <c r="K863" s="4"/>
      <c r="L863" s="4"/>
      <c r="M863" s="4"/>
      <c r="N863" s="4"/>
      <c r="O863" s="4"/>
      <c r="P863" s="4"/>
      <c r="Q863" s="4"/>
      <c r="R863" s="4"/>
      <c r="S863" s="4"/>
      <c r="T863" s="4"/>
      <c r="U863" s="4"/>
      <c r="V863" s="1158" t="s">
        <v>1562</v>
      </c>
      <c r="W863" s="1590">
        <v>49700</v>
      </c>
      <c r="X863" s="1591"/>
      <c r="Y863" s="1591"/>
      <c r="Z863" s="1591"/>
      <c r="AA863" s="1591"/>
      <c r="AB863" s="1591"/>
      <c r="AC863" s="1592"/>
      <c r="AU863" s="11"/>
      <c r="AZ863" s="2"/>
      <c r="BA863" s="2"/>
      <c r="BB863" s="2"/>
      <c r="BC863" s="2"/>
    </row>
    <row r="864" spans="3:55" ht="13" customHeight="1">
      <c r="J864" s="363"/>
      <c r="AU864" s="11"/>
      <c r="AZ864" s="2"/>
      <c r="BA864" s="2"/>
      <c r="BB864" s="2"/>
      <c r="BC864" s="2"/>
    </row>
    <row r="865" spans="3:55" ht="13" customHeight="1">
      <c r="C865" s="1" t="s">
        <v>232</v>
      </c>
      <c r="J865" s="1104" t="s">
        <v>1563</v>
      </c>
      <c r="K865" s="4"/>
      <c r="L865" s="4"/>
      <c r="M865" s="4"/>
      <c r="N865" s="4"/>
      <c r="O865" s="4"/>
      <c r="P865" s="4"/>
      <c r="Q865" s="4"/>
      <c r="R865" s="4"/>
      <c r="S865" s="4"/>
      <c r="T865" s="4"/>
      <c r="U865" s="4"/>
      <c r="V865" s="1105"/>
      <c r="W865" s="1578">
        <v>8000</v>
      </c>
      <c r="X865" s="1578"/>
      <c r="Y865" s="1578"/>
      <c r="Z865" s="1578"/>
      <c r="AA865" s="1578"/>
      <c r="AB865" s="1578"/>
      <c r="AC865" s="1578"/>
      <c r="AU865" s="11"/>
      <c r="AZ865" s="2"/>
      <c r="BA865" s="2"/>
      <c r="BB865" s="2"/>
      <c r="BC865" s="2"/>
    </row>
    <row r="866" spans="3:55" ht="13" customHeight="1">
      <c r="J866" s="1104" t="s">
        <v>1564</v>
      </c>
      <c r="K866" s="4"/>
      <c r="L866" s="4"/>
      <c r="M866" s="4"/>
      <c r="N866" s="4"/>
      <c r="O866" s="4"/>
      <c r="P866" s="4"/>
      <c r="Q866" s="4"/>
      <c r="R866" s="4"/>
      <c r="S866" s="4"/>
      <c r="T866" s="4"/>
      <c r="U866" s="4"/>
      <c r="V866" s="1105"/>
      <c r="W866" s="1578">
        <v>7500</v>
      </c>
      <c r="X866" s="1578"/>
      <c r="Y866" s="1578"/>
      <c r="Z866" s="1578"/>
      <c r="AA866" s="1578"/>
      <c r="AB866" s="1578"/>
      <c r="AC866" s="1578"/>
      <c r="AU866" s="2"/>
      <c r="AZ866" s="2"/>
      <c r="BA866" s="2"/>
      <c r="BB866" s="2"/>
      <c r="BC866" s="2"/>
    </row>
    <row r="867" spans="3:55" ht="13" customHeight="1">
      <c r="J867" s="1104" t="s">
        <v>1565</v>
      </c>
      <c r="K867" s="4"/>
      <c r="L867" s="4"/>
      <c r="M867" s="4"/>
      <c r="N867" s="4"/>
      <c r="O867" s="4"/>
      <c r="P867" s="4"/>
      <c r="Q867" s="4"/>
      <c r="R867" s="4"/>
      <c r="S867" s="4"/>
      <c r="T867" s="4"/>
      <c r="U867" s="4"/>
      <c r="V867" s="1105"/>
      <c r="W867" s="1578">
        <v>8000</v>
      </c>
      <c r="X867" s="1578"/>
      <c r="Y867" s="1578"/>
      <c r="Z867" s="1578"/>
      <c r="AA867" s="1578"/>
      <c r="AB867" s="1578"/>
      <c r="AC867" s="1578"/>
      <c r="AU867" s="2"/>
      <c r="AZ867" s="2"/>
      <c r="BA867" s="2"/>
      <c r="BB867" s="2"/>
      <c r="BC867" s="2"/>
    </row>
    <row r="868" spans="3:55" ht="13" customHeight="1">
      <c r="J868" s="1104" t="s">
        <v>1566</v>
      </c>
      <c r="K868" s="4"/>
      <c r="L868" s="4"/>
      <c r="M868" s="4"/>
      <c r="N868" s="4"/>
      <c r="O868" s="4"/>
      <c r="P868" s="4"/>
      <c r="Q868" s="4"/>
      <c r="R868" s="4"/>
      <c r="S868" s="4"/>
      <c r="T868" s="4"/>
      <c r="U868" s="4"/>
      <c r="V868" s="1105"/>
      <c r="W868" s="1578">
        <v>8700</v>
      </c>
      <c r="X868" s="1578"/>
      <c r="Y868" s="1578"/>
      <c r="Z868" s="1578"/>
      <c r="AA868" s="1578"/>
      <c r="AB868" s="1578"/>
      <c r="AC868" s="1578"/>
      <c r="AU868" s="2"/>
      <c r="AZ868" s="2"/>
      <c r="BA868" s="2"/>
      <c r="BB868" s="2"/>
      <c r="BC868" s="2"/>
    </row>
    <row r="869" spans="3:55" ht="13" customHeight="1">
      <c r="J869" s="1104" t="s">
        <v>1567</v>
      </c>
      <c r="K869" s="4"/>
      <c r="L869" s="4"/>
      <c r="M869" s="4"/>
      <c r="N869" s="4"/>
      <c r="O869" s="4"/>
      <c r="P869" s="4"/>
      <c r="Q869" s="4"/>
      <c r="R869" s="4"/>
      <c r="S869" s="4"/>
      <c r="T869" s="4"/>
      <c r="U869" s="4"/>
      <c r="V869" s="1105"/>
      <c r="W869" s="1578">
        <v>9220</v>
      </c>
      <c r="X869" s="1578"/>
      <c r="Y869" s="1578"/>
      <c r="Z869" s="1578"/>
      <c r="AA869" s="1578"/>
      <c r="AB869" s="1578"/>
      <c r="AC869" s="1578"/>
      <c r="AU869" s="2"/>
      <c r="AZ869" s="2"/>
      <c r="BA869" s="2"/>
      <c r="BB869" s="2"/>
      <c r="BC869" s="2"/>
    </row>
    <row r="870" spans="3:55" ht="13" customHeight="1">
      <c r="J870" s="1104" t="s">
        <v>1568</v>
      </c>
      <c r="K870" s="4"/>
      <c r="L870" s="4"/>
      <c r="M870" s="4"/>
      <c r="N870" s="4"/>
      <c r="O870" s="4"/>
      <c r="P870" s="4"/>
      <c r="Q870" s="4"/>
      <c r="R870" s="4"/>
      <c r="S870" s="4"/>
      <c r="T870" s="4"/>
      <c r="U870" s="4"/>
      <c r="V870" s="1105"/>
      <c r="W870" s="1578"/>
      <c r="X870" s="1578"/>
      <c r="Y870" s="1578"/>
      <c r="Z870" s="1578"/>
      <c r="AA870" s="1578"/>
      <c r="AB870" s="1578"/>
      <c r="AC870" s="1578"/>
      <c r="AU870" s="2"/>
      <c r="AZ870" s="2"/>
      <c r="BA870" s="2"/>
      <c r="BB870" s="2"/>
      <c r="BC870" s="2"/>
    </row>
    <row r="871" spans="3:55" ht="13" customHeight="1">
      <c r="J871" s="1104" t="s">
        <v>233</v>
      </c>
      <c r="K871" s="4"/>
      <c r="L871" s="4"/>
      <c r="M871" s="1582" t="s">
        <v>1343</v>
      </c>
      <c r="N871" s="1583"/>
      <c r="O871" s="1583"/>
      <c r="P871" s="1583"/>
      <c r="Q871" s="1583"/>
      <c r="R871" s="1583"/>
      <c r="S871" s="1583"/>
      <c r="T871" s="1583"/>
      <c r="U871" s="1583"/>
      <c r="V871" s="1584"/>
      <c r="W871" s="1578"/>
      <c r="X871" s="1578"/>
      <c r="Y871" s="1578"/>
      <c r="Z871" s="1578"/>
      <c r="AA871" s="1578"/>
      <c r="AB871" s="1578"/>
      <c r="AC871" s="1578"/>
      <c r="AD871" s="382"/>
      <c r="AU871" s="2"/>
      <c r="AV871" s="11"/>
      <c r="AW871" s="11"/>
      <c r="AX871" s="11"/>
      <c r="AY871" s="11"/>
      <c r="AZ871" s="2"/>
      <c r="BA871" s="2"/>
      <c r="BB871" s="2"/>
      <c r="BC871" s="2"/>
    </row>
    <row r="872" spans="3:55" ht="13" customHeight="1">
      <c r="J872" s="1104"/>
      <c r="K872" s="4"/>
      <c r="L872" s="4"/>
      <c r="M872" s="4"/>
      <c r="N872" s="4"/>
      <c r="O872" s="4"/>
      <c r="P872" s="4"/>
      <c r="Q872" s="4"/>
      <c r="R872" s="4"/>
      <c r="S872" s="4"/>
      <c r="T872" s="4"/>
      <c r="U872" s="4"/>
      <c r="V872" s="1158" t="s">
        <v>1569</v>
      </c>
      <c r="W872" s="1542">
        <f>SUM(W865:AC871)</f>
        <v>41420</v>
      </c>
      <c r="X872" s="1542"/>
      <c r="Y872" s="1542"/>
      <c r="Z872" s="1542"/>
      <c r="AA872" s="1542"/>
      <c r="AB872" s="1542"/>
      <c r="AC872" s="1542"/>
      <c r="AU872" s="2"/>
      <c r="AV872" s="11"/>
      <c r="AW872" s="11"/>
      <c r="AX872" s="11"/>
      <c r="AY872" s="11"/>
      <c r="AZ872" s="2"/>
      <c r="BA872" s="2"/>
      <c r="BB872" s="2"/>
      <c r="BC872" s="2"/>
    </row>
    <row r="873" spans="3:55" ht="13" customHeight="1">
      <c r="AU873" s="2"/>
      <c r="AV873" s="11"/>
      <c r="AW873" s="11"/>
      <c r="AX873" s="11"/>
      <c r="AY873" s="11"/>
      <c r="AZ873" s="2"/>
      <c r="BA873" s="2"/>
      <c r="BB873" s="2"/>
      <c r="BC873" s="2"/>
    </row>
    <row r="874" spans="3:55" ht="13" customHeight="1">
      <c r="C874" s="1" t="s">
        <v>1570</v>
      </c>
      <c r="J874" s="1104" t="s">
        <v>233</v>
      </c>
      <c r="K874" s="4"/>
      <c r="L874" s="4"/>
      <c r="M874" s="1582" t="s">
        <v>1343</v>
      </c>
      <c r="N874" s="1583"/>
      <c r="O874" s="1583"/>
      <c r="P874" s="1583"/>
      <c r="Q874" s="1583"/>
      <c r="R874" s="1583"/>
      <c r="S874" s="1583"/>
      <c r="T874" s="1583"/>
      <c r="U874" s="1583"/>
      <c r="V874" s="1584"/>
      <c r="W874" s="1427"/>
      <c r="X874" s="1299"/>
      <c r="Y874" s="1299"/>
      <c r="Z874" s="1299"/>
      <c r="AA874" s="1299"/>
      <c r="AB874" s="1299"/>
      <c r="AC874" s="1300"/>
      <c r="AD874" s="382"/>
      <c r="AV874" s="11"/>
      <c r="AW874" s="11"/>
      <c r="AX874" s="11"/>
      <c r="AY874" s="11"/>
      <c r="AZ874" s="2"/>
      <c r="BA874" s="2"/>
      <c r="BB874" s="2"/>
      <c r="BC874" s="2"/>
    </row>
    <row r="875" spans="3:55" ht="13" customHeight="1">
      <c r="C875" s="1" t="s">
        <v>1571</v>
      </c>
      <c r="J875" s="1104" t="s">
        <v>233</v>
      </c>
      <c r="K875" s="4"/>
      <c r="L875" s="4"/>
      <c r="M875" s="1582" t="s">
        <v>1343</v>
      </c>
      <c r="N875" s="1583"/>
      <c r="O875" s="1583"/>
      <c r="P875" s="1583"/>
      <c r="Q875" s="1583"/>
      <c r="R875" s="1583"/>
      <c r="S875" s="1583"/>
      <c r="T875" s="1583"/>
      <c r="U875" s="1583"/>
      <c r="V875" s="1584"/>
      <c r="W875" s="1427"/>
      <c r="X875" s="1299"/>
      <c r="Y875" s="1299"/>
      <c r="Z875" s="1299"/>
      <c r="AA875" s="1299"/>
      <c r="AB875" s="1299"/>
      <c r="AC875" s="1300"/>
      <c r="AD875" s="382"/>
      <c r="AV875" s="11"/>
      <c r="AW875" s="11"/>
      <c r="AX875" s="11"/>
      <c r="AY875" s="11"/>
      <c r="AZ875" s="2"/>
      <c r="BA875" s="2"/>
      <c r="BB875" s="2"/>
      <c r="BC875" s="2"/>
    </row>
    <row r="876" spans="3:55" ht="13" customHeight="1">
      <c r="J876" s="1104" t="s">
        <v>233</v>
      </c>
      <c r="K876" s="4"/>
      <c r="L876" s="4"/>
      <c r="M876" s="1582" t="s">
        <v>1343</v>
      </c>
      <c r="N876" s="1583"/>
      <c r="O876" s="1583"/>
      <c r="P876" s="1583"/>
      <c r="Q876" s="1583"/>
      <c r="R876" s="1583"/>
      <c r="S876" s="1583"/>
      <c r="T876" s="1583"/>
      <c r="U876" s="1583"/>
      <c r="V876" s="1584"/>
      <c r="W876" s="1427"/>
      <c r="X876" s="1299"/>
      <c r="Y876" s="1299"/>
      <c r="Z876" s="1299"/>
      <c r="AA876" s="1299"/>
      <c r="AB876" s="1299"/>
      <c r="AC876" s="1300"/>
      <c r="AL876" s="11"/>
      <c r="AM876" s="11"/>
      <c r="AN876" s="11"/>
      <c r="AO876" s="11"/>
      <c r="AP876" s="11"/>
      <c r="AQ876" s="11"/>
      <c r="AR876" s="11"/>
      <c r="AS876" s="11"/>
      <c r="AT876" s="11"/>
      <c r="AV876" s="2"/>
      <c r="AW876" s="2"/>
      <c r="AX876" s="2"/>
      <c r="AY876" s="2"/>
      <c r="AZ876" s="2"/>
      <c r="BA876" s="2"/>
      <c r="BB876" s="2"/>
      <c r="BC876" s="2"/>
    </row>
    <row r="877" spans="3:55" ht="13" customHeight="1">
      <c r="J877" s="1104" t="s">
        <v>233</v>
      </c>
      <c r="K877" s="4"/>
      <c r="L877" s="4"/>
      <c r="M877" s="1582" t="s">
        <v>1343</v>
      </c>
      <c r="N877" s="1583"/>
      <c r="O877" s="1583"/>
      <c r="P877" s="1583"/>
      <c r="Q877" s="1583"/>
      <c r="R877" s="1583"/>
      <c r="S877" s="1583"/>
      <c r="T877" s="1583"/>
      <c r="U877" s="1583"/>
      <c r="V877" s="1584"/>
      <c r="W877" s="1427"/>
      <c r="X877" s="1299"/>
      <c r="Y877" s="1299"/>
      <c r="Z877" s="1299"/>
      <c r="AA877" s="1299"/>
      <c r="AB877" s="1299"/>
      <c r="AC877" s="1300"/>
      <c r="AL877" s="11"/>
      <c r="AM877" s="11"/>
      <c r="AN877" s="11"/>
      <c r="AO877" s="11"/>
      <c r="AP877" s="11"/>
      <c r="AQ877" s="11"/>
      <c r="AR877" s="11"/>
      <c r="AS877" s="11"/>
      <c r="AT877" s="11"/>
      <c r="AV877" s="2"/>
      <c r="AW877" s="2"/>
      <c r="AX877" s="2"/>
      <c r="AY877" s="2"/>
      <c r="AZ877" s="2"/>
      <c r="BA877" s="2"/>
      <c r="BB877" s="2"/>
      <c r="BC877" s="2"/>
    </row>
    <row r="878" spans="3:55" ht="13" customHeight="1">
      <c r="J878" s="1104" t="s">
        <v>233</v>
      </c>
      <c r="K878" s="4"/>
      <c r="L878" s="4"/>
      <c r="M878" s="1582" t="s">
        <v>1343</v>
      </c>
      <c r="N878" s="1583"/>
      <c r="O878" s="1583"/>
      <c r="P878" s="1583"/>
      <c r="Q878" s="1583"/>
      <c r="R878" s="1583"/>
      <c r="S878" s="1583"/>
      <c r="T878" s="1583"/>
      <c r="U878" s="1583"/>
      <c r="V878" s="1584"/>
      <c r="W878" s="1427"/>
      <c r="X878" s="1299"/>
      <c r="Y878" s="1299"/>
      <c r="Z878" s="1299"/>
      <c r="AA878" s="1299"/>
      <c r="AB878" s="1299"/>
      <c r="AC878" s="1300"/>
      <c r="AL878" s="11"/>
      <c r="AM878" s="11"/>
      <c r="AN878" s="11"/>
      <c r="AO878" s="11"/>
      <c r="AP878" s="11"/>
      <c r="AQ878" s="11"/>
      <c r="AR878" s="11"/>
      <c r="AS878" s="11"/>
      <c r="AT878" s="11"/>
      <c r="AV878" s="2"/>
      <c r="AW878" s="2"/>
      <c r="AX878" s="2"/>
      <c r="AY878" s="2"/>
      <c r="AZ878" s="2"/>
      <c r="BA878" s="2"/>
      <c r="BB878" s="2"/>
      <c r="BC878" s="2"/>
    </row>
    <row r="879" spans="3:55" ht="13" customHeight="1">
      <c r="J879" s="1104"/>
      <c r="K879" s="4"/>
      <c r="L879" s="4"/>
      <c r="M879" s="4"/>
      <c r="N879" s="4"/>
      <c r="O879" s="4"/>
      <c r="P879" s="4"/>
      <c r="Q879" s="4"/>
      <c r="R879" s="4"/>
      <c r="S879" s="4"/>
      <c r="T879" s="4"/>
      <c r="U879" s="4"/>
      <c r="V879" s="1158" t="s">
        <v>1572</v>
      </c>
      <c r="W879" s="1424">
        <f>SUM(W874:AC878)</f>
        <v>0</v>
      </c>
      <c r="X879" s="1425"/>
      <c r="Y879" s="1425"/>
      <c r="Z879" s="1425"/>
      <c r="AA879" s="1425"/>
      <c r="AB879" s="1425"/>
      <c r="AC879" s="1426"/>
      <c r="AL879" s="11"/>
      <c r="AM879" s="11"/>
      <c r="AN879" s="11"/>
      <c r="AO879" s="11"/>
      <c r="AP879" s="11"/>
      <c r="AQ879" s="11"/>
      <c r="AR879" s="11"/>
      <c r="AS879" s="11"/>
      <c r="AT879" s="11"/>
      <c r="AV879" s="2"/>
      <c r="AW879" s="2"/>
      <c r="AX879" s="2"/>
      <c r="AY879" s="2"/>
      <c r="AZ879" s="2"/>
      <c r="BA879" s="2"/>
      <c r="BB879" s="2"/>
      <c r="BC879" s="2"/>
    </row>
    <row r="880" spans="3:55" ht="13" customHeight="1">
      <c r="E880" s="363"/>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3" customHeight="1">
      <c r="C881" s="1" t="s">
        <v>1573</v>
      </c>
      <c r="I881" s="382"/>
      <c r="J881" s="382"/>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3" customHeight="1">
      <c r="E882" s="363"/>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3"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71" t="s">
        <v>1574</v>
      </c>
      <c r="AC883" s="1425">
        <f>W847+W855+W862+W863+W872+W879+W849</f>
        <v>371020</v>
      </c>
      <c r="AD883" s="1425"/>
      <c r="AE883" s="1425"/>
      <c r="AF883" s="1425"/>
      <c r="AG883" s="1425"/>
      <c r="AH883" s="1426"/>
      <c r="AL883" s="2"/>
      <c r="AM883" s="2"/>
      <c r="AN883" s="2"/>
      <c r="AO883" s="2"/>
      <c r="AP883" s="2"/>
      <c r="AQ883" s="2"/>
      <c r="AR883" s="2"/>
      <c r="AS883" s="2"/>
      <c r="AT883" s="2"/>
      <c r="AV883" s="2"/>
      <c r="AW883" s="2"/>
      <c r="AX883" s="2"/>
      <c r="AY883" s="2"/>
      <c r="AZ883" s="2"/>
      <c r="BA883" s="2"/>
      <c r="BB883" s="2"/>
      <c r="BC883" s="2"/>
    </row>
    <row r="884" spans="3:55" ht="13"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71" t="s">
        <v>1575</v>
      </c>
      <c r="AC884" s="1585">
        <f>O797+O777+G753</f>
        <v>53</v>
      </c>
      <c r="AD884" s="1585"/>
      <c r="AE884" s="1585"/>
      <c r="AF884" s="1585"/>
      <c r="AG884" s="1585"/>
      <c r="AH884" s="1586"/>
      <c r="AL884" s="2"/>
      <c r="AM884" s="2"/>
      <c r="AN884" s="2"/>
      <c r="AO884" s="2"/>
      <c r="AP884" s="2"/>
      <c r="AQ884" s="2"/>
      <c r="AR884" s="2"/>
      <c r="AS884" s="2"/>
      <c r="AT884" s="2"/>
      <c r="AZ884" s="2"/>
      <c r="BA884" s="2"/>
      <c r="BB884" s="2"/>
      <c r="BC884" s="2"/>
    </row>
    <row r="885" spans="3:55" ht="13" customHeight="1">
      <c r="C885" s="29"/>
      <c r="D885" s="30"/>
      <c r="E885" s="1644" t="s">
        <v>1576</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542">
        <f>IF(ISERROR((ROUNDDOWN(AC883/AC884,0))),0,(ROUNDDOWN(AC883/AC884,0)))</f>
        <v>7000</v>
      </c>
      <c r="AD885" s="1542"/>
      <c r="AE885" s="1542"/>
      <c r="AF885" s="1542"/>
      <c r="AG885" s="1542"/>
      <c r="AH885" s="1542"/>
      <c r="AL885" s="2"/>
      <c r="AM885" s="2"/>
      <c r="AN885" s="2"/>
      <c r="AO885" s="2"/>
      <c r="AP885" s="2"/>
      <c r="AQ885" s="2"/>
      <c r="AR885" s="2"/>
      <c r="AS885" s="2"/>
      <c r="AT885" s="2"/>
      <c r="AZ885" s="2"/>
      <c r="BA885" s="2"/>
      <c r="BB885" s="2"/>
      <c r="BC885" s="2"/>
    </row>
    <row r="886" spans="3:55" ht="13" customHeight="1">
      <c r="C886" s="1104"/>
      <c r="D886" s="4"/>
      <c r="E886" s="4"/>
      <c r="F886" s="4"/>
      <c r="G886" s="4"/>
      <c r="H886" s="4"/>
      <c r="I886" s="4"/>
      <c r="J886" s="4"/>
      <c r="K886" s="4"/>
      <c r="L886" s="4"/>
      <c r="M886" s="4"/>
      <c r="N886" s="4"/>
      <c r="O886" s="4"/>
      <c r="P886" s="4"/>
      <c r="Q886" s="4"/>
      <c r="R886" s="4"/>
      <c r="S886" s="4"/>
      <c r="T886" s="4"/>
      <c r="U886" s="4"/>
      <c r="V886" s="4"/>
      <c r="W886" s="4"/>
      <c r="X886" s="4"/>
      <c r="Y886" s="4"/>
      <c r="Z886" s="4"/>
      <c r="AA886" s="4"/>
      <c r="AB886" s="1158" t="s">
        <v>1577</v>
      </c>
      <c r="AC886" s="1587">
        <v>300008</v>
      </c>
      <c r="AD886" s="1588"/>
      <c r="AE886" s="1588"/>
      <c r="AF886" s="1588"/>
      <c r="AG886" s="1588"/>
      <c r="AH886" s="1588"/>
      <c r="AL886" s="2"/>
      <c r="AM886" s="2"/>
      <c r="AN886" s="2"/>
      <c r="AO886" s="2"/>
      <c r="AP886" s="2"/>
      <c r="AQ886" s="2"/>
      <c r="AR886" s="2"/>
      <c r="AS886" s="2"/>
      <c r="AT886" s="2"/>
      <c r="AZ886" s="2"/>
      <c r="BA886" s="2"/>
      <c r="BB886" s="2"/>
      <c r="BC886" s="2"/>
    </row>
    <row r="887" spans="3:55" ht="13" customHeight="1">
      <c r="C887" s="1104"/>
      <c r="D887" s="4"/>
      <c r="E887" s="4"/>
      <c r="F887" s="4"/>
      <c r="G887" s="4"/>
      <c r="H887" s="4"/>
      <c r="I887" s="4"/>
      <c r="J887" s="4"/>
      <c r="K887" s="4"/>
      <c r="L887" s="4"/>
      <c r="M887" s="4"/>
      <c r="N887" s="4"/>
      <c r="O887" s="4"/>
      <c r="P887" s="4"/>
      <c r="Q887" s="4"/>
      <c r="R887" s="4"/>
      <c r="S887" s="4"/>
      <c r="T887" s="4"/>
      <c r="U887" s="4"/>
      <c r="V887" s="4"/>
      <c r="W887" s="4"/>
      <c r="X887" s="4"/>
      <c r="Y887" s="4"/>
      <c r="Z887" s="4"/>
      <c r="AA887" s="4"/>
      <c r="AB887" s="1158" t="s">
        <v>1578</v>
      </c>
      <c r="AC887" s="1300"/>
      <c r="AD887" s="1578"/>
      <c r="AE887" s="1578"/>
      <c r="AF887" s="1578"/>
      <c r="AG887" s="1578"/>
      <c r="AH887" s="1578"/>
      <c r="AL887" s="2"/>
      <c r="AM887" s="2"/>
      <c r="AN887" s="2"/>
      <c r="AO887" s="2"/>
      <c r="AP887" s="2"/>
      <c r="AQ887" s="2"/>
      <c r="AR887" s="2"/>
      <c r="AS887" s="2"/>
      <c r="AT887" s="2"/>
      <c r="AZ887" s="2"/>
      <c r="BA887" s="2"/>
      <c r="BB887" s="2"/>
      <c r="BC887" s="2"/>
    </row>
    <row r="888" spans="3:55" ht="13" customHeight="1">
      <c r="C888" s="1104"/>
      <c r="D888" s="4"/>
      <c r="E888" s="4"/>
      <c r="F888" s="4"/>
      <c r="G888" s="4"/>
      <c r="H888" s="4"/>
      <c r="I888" s="4"/>
      <c r="J888" s="4"/>
      <c r="K888" s="4"/>
      <c r="L888" s="4"/>
      <c r="M888" s="4"/>
      <c r="N888" s="4"/>
      <c r="O888" s="4"/>
      <c r="P888" s="4"/>
      <c r="Q888" s="4"/>
      <c r="R888" s="4"/>
      <c r="S888" s="4"/>
      <c r="T888" s="4"/>
      <c r="U888" s="4"/>
      <c r="V888" s="4"/>
      <c r="W888" s="4"/>
      <c r="X888" s="4"/>
      <c r="Y888" s="4"/>
      <c r="Z888" s="4"/>
      <c r="AA888" s="4"/>
      <c r="AB888" s="1158" t="s">
        <v>1579</v>
      </c>
      <c r="AC888" s="1299">
        <v>18000</v>
      </c>
      <c r="AD888" s="1299"/>
      <c r="AE888" s="1299"/>
      <c r="AF888" s="1299"/>
      <c r="AG888" s="1299"/>
      <c r="AH888" s="1300"/>
      <c r="AL888" s="2"/>
      <c r="AM888" s="2"/>
      <c r="AN888" s="2"/>
      <c r="AO888" s="2"/>
      <c r="AP888" s="2"/>
      <c r="AQ888" s="2"/>
      <c r="AR888" s="2"/>
      <c r="AS888" s="2"/>
      <c r="AT888" s="2"/>
      <c r="AZ888" s="2"/>
      <c r="BA888" s="2"/>
      <c r="BB888" s="2"/>
      <c r="BC888" s="2"/>
    </row>
    <row r="889" spans="3:55" ht="13" customHeight="1">
      <c r="C889" s="1104"/>
      <c r="D889" s="4"/>
      <c r="E889" s="4"/>
      <c r="F889" s="4"/>
      <c r="G889" s="4"/>
      <c r="H889" s="4"/>
      <c r="I889" s="4"/>
      <c r="J889" s="4"/>
      <c r="K889" s="4"/>
      <c r="L889" s="4"/>
      <c r="M889" s="4"/>
      <c r="N889" s="4"/>
      <c r="O889" s="4"/>
      <c r="P889" s="4"/>
      <c r="Q889" s="4"/>
      <c r="R889" s="4"/>
      <c r="S889" s="4"/>
      <c r="T889" s="4"/>
      <c r="U889" s="4"/>
      <c r="V889" s="4"/>
      <c r="W889" s="4"/>
      <c r="X889" s="4"/>
      <c r="Y889" s="4"/>
      <c r="Z889" s="4"/>
      <c r="AA889" s="4"/>
      <c r="AB889" s="1158" t="s">
        <v>1580</v>
      </c>
      <c r="AC889" s="1299">
        <v>26500</v>
      </c>
      <c r="AD889" s="1299"/>
      <c r="AE889" s="1299"/>
      <c r="AF889" s="1299"/>
      <c r="AG889" s="1299"/>
      <c r="AH889" s="1300"/>
      <c r="AZ889" s="2"/>
      <c r="BA889" s="2"/>
      <c r="BB889" s="2"/>
      <c r="BC889" s="2"/>
    </row>
    <row r="890" spans="3:55" ht="13" customHeight="1">
      <c r="C890" s="1104"/>
      <c r="D890" s="4"/>
      <c r="E890" s="4"/>
      <c r="F890" s="4"/>
      <c r="G890" s="4"/>
      <c r="H890" s="4"/>
      <c r="I890" s="4"/>
      <c r="J890" s="4"/>
      <c r="K890" s="4"/>
      <c r="L890" s="4"/>
      <c r="M890" s="4"/>
      <c r="N890" s="4"/>
      <c r="O890" s="4"/>
      <c r="P890" s="4"/>
      <c r="Q890" s="4"/>
      <c r="R890" s="4"/>
      <c r="S890" s="4"/>
      <c r="T890" s="4"/>
      <c r="U890" s="4"/>
      <c r="V890" s="4"/>
      <c r="W890" s="4"/>
      <c r="X890" s="4"/>
      <c r="Y890" s="4"/>
      <c r="Z890" s="4"/>
      <c r="AA890" s="4"/>
      <c r="AB890" s="1158" t="s">
        <v>1581</v>
      </c>
      <c r="AC890" s="1441">
        <v>7500</v>
      </c>
      <c r="AD890" s="1442"/>
      <c r="AE890" s="1442"/>
      <c r="AF890" s="1442"/>
      <c r="AG890" s="1442"/>
      <c r="AH890" s="1443"/>
      <c r="AZ890" s="2"/>
      <c r="BA890" s="2"/>
      <c r="BB890" s="2"/>
      <c r="BC890" s="2"/>
    </row>
    <row r="891" spans="3:55" ht="13" customHeight="1">
      <c r="C891" s="1104"/>
      <c r="D891" s="4"/>
      <c r="E891" s="4"/>
      <c r="F891" s="4"/>
      <c r="G891" s="4"/>
      <c r="H891" s="4"/>
      <c r="I891" s="4"/>
      <c r="J891" s="4"/>
      <c r="K891" s="4"/>
      <c r="L891" s="4"/>
      <c r="M891" s="4"/>
      <c r="N891" s="4"/>
      <c r="O891" s="4"/>
      <c r="P891" s="4"/>
      <c r="Q891" s="4"/>
      <c r="R891" s="4"/>
      <c r="S891" s="4"/>
      <c r="T891" s="4"/>
      <c r="U891" s="4"/>
      <c r="V891" s="4"/>
      <c r="W891" s="4"/>
      <c r="X891" s="4"/>
      <c r="Y891" s="4"/>
      <c r="Z891" s="4"/>
      <c r="AA891" s="4"/>
      <c r="AB891" s="1158" t="s">
        <v>1582</v>
      </c>
      <c r="AC891" s="1299"/>
      <c r="AD891" s="1299"/>
      <c r="AE891" s="1299"/>
      <c r="AF891" s="1299"/>
      <c r="AG891" s="1299"/>
      <c r="AH891" s="1300"/>
      <c r="AZ891" s="2"/>
      <c r="BA891" s="2"/>
      <c r="BB891" s="2"/>
      <c r="BC891" s="2"/>
    </row>
    <row r="892" spans="3:55" ht="13" hidden="1" customHeight="1">
      <c r="C892" s="1360" t="s">
        <v>1583</v>
      </c>
      <c r="D892" s="1361"/>
      <c r="E892" s="1361"/>
      <c r="F892" s="1361"/>
      <c r="G892" s="1361"/>
      <c r="H892" s="1361"/>
      <c r="I892" s="1361"/>
      <c r="J892" s="1361"/>
      <c r="K892" s="1361"/>
      <c r="L892" s="1361"/>
      <c r="M892" s="1361"/>
      <c r="N892" s="1361"/>
      <c r="O892" s="1361"/>
      <c r="P892" s="1361"/>
      <c r="Q892" s="1361"/>
      <c r="R892" s="1361"/>
      <c r="S892" s="1361"/>
      <c r="T892" s="1361"/>
      <c r="U892" s="1361"/>
      <c r="V892" s="1361"/>
      <c r="W892" s="1361"/>
      <c r="X892" s="1361"/>
      <c r="Y892" s="1361"/>
      <c r="Z892" s="1361"/>
      <c r="AA892" s="1361"/>
      <c r="AB892" s="1363"/>
      <c r="AC892" s="1299"/>
      <c r="AD892" s="1299"/>
      <c r="AE892" s="1299"/>
      <c r="AF892" s="1299"/>
      <c r="AG892" s="1299"/>
      <c r="AH892" s="1300"/>
      <c r="AZ892" s="2"/>
      <c r="BA892" s="2"/>
      <c r="BB892" s="2"/>
      <c r="BC892" s="2"/>
    </row>
    <row r="893" spans="3:55" ht="13" customHeight="1">
      <c r="C893" s="1104"/>
      <c r="D893" s="4"/>
      <c r="E893" s="4"/>
      <c r="F893" s="4"/>
      <c r="G893" s="4"/>
      <c r="H893" s="4"/>
      <c r="I893" s="4"/>
      <c r="J893" s="4"/>
      <c r="K893" s="4"/>
      <c r="L893" s="4"/>
      <c r="M893" s="4"/>
      <c r="N893" s="4"/>
      <c r="O893" s="4"/>
      <c r="P893" s="4"/>
      <c r="Q893" s="4"/>
      <c r="R893" s="4"/>
      <c r="S893" s="4"/>
      <c r="T893" s="4"/>
      <c r="U893" s="4"/>
      <c r="V893" s="4"/>
      <c r="W893" s="4"/>
      <c r="X893" s="4"/>
      <c r="Y893" s="4"/>
      <c r="Z893" s="4"/>
      <c r="AA893" s="4"/>
      <c r="AB893" s="1158" t="s">
        <v>1584</v>
      </c>
      <c r="AC893" s="1299"/>
      <c r="AD893" s="1299"/>
      <c r="AE893" s="1299"/>
      <c r="AF893" s="1299"/>
      <c r="AG893" s="1299"/>
      <c r="AH893" s="1300"/>
      <c r="AZ893" s="2"/>
      <c r="BA893" s="2"/>
      <c r="BB893" s="2"/>
      <c r="BC893" s="2"/>
    </row>
    <row r="894" spans="3:55" ht="13" customHeight="1">
      <c r="C894" s="1605" t="s">
        <v>1585</v>
      </c>
      <c r="D894" s="1606"/>
      <c r="E894" s="1606"/>
      <c r="F894" s="1606"/>
      <c r="G894" s="1606"/>
      <c r="H894" s="1606"/>
      <c r="I894" s="1606"/>
      <c r="J894" s="1606"/>
      <c r="K894" s="1606"/>
      <c r="L894" s="1606"/>
      <c r="M894" s="1606"/>
      <c r="N894" s="1606"/>
      <c r="O894" s="1606"/>
      <c r="P894" s="1606"/>
      <c r="Q894" s="1606"/>
      <c r="R894" s="1606"/>
      <c r="S894" s="1606"/>
      <c r="T894" s="1606"/>
      <c r="U894" s="1606"/>
      <c r="V894" s="1606"/>
      <c r="W894" s="1606"/>
      <c r="X894" s="1606"/>
      <c r="Y894" s="1606"/>
      <c r="Z894" s="1606"/>
      <c r="AA894" s="1606"/>
      <c r="AB894" s="1607"/>
      <c r="AC894" s="1578"/>
      <c r="AD894" s="1578"/>
      <c r="AE894" s="1578"/>
      <c r="AF894" s="1578"/>
      <c r="AG894" s="1578"/>
      <c r="AH894" s="1578"/>
      <c r="AZ894" s="2"/>
      <c r="BA894" s="2"/>
      <c r="BB894" s="2"/>
      <c r="BC894" s="2"/>
    </row>
    <row r="895" spans="3:55" ht="13" customHeight="1">
      <c r="C895" s="1605" t="s">
        <v>1585</v>
      </c>
      <c r="D895" s="1606"/>
      <c r="E895" s="1606"/>
      <c r="F895" s="1606"/>
      <c r="G895" s="1606"/>
      <c r="H895" s="1606"/>
      <c r="I895" s="1606"/>
      <c r="J895" s="1606"/>
      <c r="K895" s="1606"/>
      <c r="L895" s="1606"/>
      <c r="M895" s="1606"/>
      <c r="N895" s="1606"/>
      <c r="O895" s="1606"/>
      <c r="P895" s="1606"/>
      <c r="Q895" s="1606"/>
      <c r="R895" s="1606"/>
      <c r="S895" s="1606"/>
      <c r="T895" s="1606"/>
      <c r="U895" s="1606"/>
      <c r="V895" s="1606"/>
      <c r="W895" s="1606"/>
      <c r="X895" s="1606"/>
      <c r="Y895" s="1606"/>
      <c r="Z895" s="1606"/>
      <c r="AA895" s="1606"/>
      <c r="AB895" s="1607"/>
      <c r="AC895" s="1578"/>
      <c r="AD895" s="1578"/>
      <c r="AE895" s="1578"/>
      <c r="AF895" s="1578"/>
      <c r="AG895" s="1578"/>
      <c r="AH895" s="1578"/>
      <c r="AU895" s="54"/>
      <c r="AZ895" s="2"/>
      <c r="BA895" s="2"/>
      <c r="BB895" s="2"/>
      <c r="BC895" s="2"/>
    </row>
    <row r="896" spans="3:55" ht="13" customHeight="1">
      <c r="E896" s="363"/>
      <c r="AB896" s="37"/>
      <c r="AC896" s="71"/>
      <c r="AD896" s="71"/>
      <c r="AE896" s="71"/>
      <c r="AF896" s="71"/>
      <c r="AG896" s="71"/>
      <c r="AH896" s="71"/>
      <c r="AU896" s="54"/>
      <c r="AZ896" s="2"/>
      <c r="BA896" s="2"/>
      <c r="BB896" s="2"/>
      <c r="BC896" s="2"/>
    </row>
    <row r="897" spans="1:58" ht="13" customHeight="1">
      <c r="A897" s="1" t="s">
        <v>1298</v>
      </c>
      <c r="C897" s="1" t="s">
        <v>1586</v>
      </c>
      <c r="X897" s="10"/>
      <c r="Y897" s="10"/>
      <c r="Z897" s="10"/>
      <c r="AA897" s="10"/>
      <c r="AB897" s="10"/>
      <c r="AC897" s="10"/>
      <c r="AD897" s="10"/>
      <c r="AU897" s="54"/>
      <c r="AZ897" s="2"/>
      <c r="BB897" s="23"/>
      <c r="BC897" s="23"/>
    </row>
    <row r="898" spans="1:58" ht="13" customHeight="1">
      <c r="X898" s="10"/>
      <c r="Y898" s="10"/>
      <c r="Z898" s="10"/>
      <c r="AA898" s="10"/>
      <c r="AB898" s="10"/>
      <c r="AC898" s="10"/>
      <c r="AD898" s="10"/>
      <c r="AF898" s="382"/>
      <c r="AG898" s="1129"/>
      <c r="AH898" s="1129"/>
      <c r="AI898" s="1129"/>
      <c r="AU898" s="54"/>
      <c r="AZ898" s="2"/>
      <c r="BB898" s="23"/>
      <c r="BC898" s="23"/>
      <c r="BD898" s="11"/>
      <c r="BE898" s="11"/>
      <c r="BF898" s="11"/>
    </row>
    <row r="899" spans="1:58" ht="13" customHeight="1">
      <c r="B899" s="1"/>
      <c r="H899" s="1106" t="s">
        <v>1587</v>
      </c>
      <c r="I899" s="4"/>
      <c r="J899" s="4"/>
      <c r="K899" s="4"/>
      <c r="L899" s="4"/>
      <c r="M899" s="4"/>
      <c r="N899" s="4"/>
      <c r="O899" s="4"/>
      <c r="P899" s="4"/>
      <c r="Q899" s="4"/>
      <c r="R899" s="4"/>
      <c r="S899" s="4"/>
      <c r="T899" s="4"/>
      <c r="U899" s="4"/>
      <c r="V899" s="4"/>
      <c r="W899" s="4"/>
      <c r="X899" s="4"/>
      <c r="Y899" s="1105"/>
      <c r="Z899" s="1427"/>
      <c r="AA899" s="1299"/>
      <c r="AB899" s="1299"/>
      <c r="AC899" s="1299"/>
      <c r="AD899" s="1299"/>
      <c r="AE899" s="1300"/>
      <c r="AF899" s="382"/>
      <c r="AZ899" s="2"/>
      <c r="BB899" s="23"/>
      <c r="BC899" s="646"/>
      <c r="BD899" s="1575"/>
      <c r="BE899" s="1575"/>
      <c r="BF899" s="11"/>
    </row>
    <row r="900" spans="1:58" ht="13" customHeight="1">
      <c r="H900" s="1106" t="s">
        <v>1588</v>
      </c>
      <c r="I900" s="4"/>
      <c r="J900" s="4"/>
      <c r="K900" s="4"/>
      <c r="L900" s="4"/>
      <c r="M900" s="4"/>
      <c r="N900" s="4"/>
      <c r="O900" s="4"/>
      <c r="P900" s="4"/>
      <c r="Q900" s="4"/>
      <c r="R900" s="4"/>
      <c r="S900" s="4"/>
      <c r="T900" s="4"/>
      <c r="U900" s="4"/>
      <c r="V900" s="4"/>
      <c r="W900" s="4"/>
      <c r="X900" s="4"/>
      <c r="Y900" s="4"/>
      <c r="Z900" s="1427"/>
      <c r="AA900" s="1299"/>
      <c r="AB900" s="1299"/>
      <c r="AC900" s="1299"/>
      <c r="AD900" s="1299"/>
      <c r="AE900" s="1300"/>
      <c r="AZ900" s="2"/>
      <c r="BB900" s="23"/>
      <c r="BC900" s="646"/>
      <c r="BD900" s="1575"/>
      <c r="BE900" s="1575"/>
      <c r="BF900" s="11"/>
    </row>
    <row r="901" spans="1:58" ht="13" customHeight="1">
      <c r="H901" s="1106" t="s">
        <v>1589</v>
      </c>
      <c r="I901" s="4"/>
      <c r="J901" s="4"/>
      <c r="K901" s="4"/>
      <c r="L901" s="4"/>
      <c r="M901" s="4"/>
      <c r="N901" s="4"/>
      <c r="O901" s="4"/>
      <c r="P901" s="4"/>
      <c r="Q901" s="4"/>
      <c r="R901" s="4"/>
      <c r="S901" s="4"/>
      <c r="T901" s="4"/>
      <c r="U901" s="4"/>
      <c r="V901" s="4"/>
      <c r="W901" s="4"/>
      <c r="X901" s="4"/>
      <c r="Y901" s="4"/>
      <c r="Z901" s="1427"/>
      <c r="AA901" s="1299"/>
      <c r="AB901" s="1299"/>
      <c r="AC901" s="1299"/>
      <c r="AD901" s="1299"/>
      <c r="AE901" s="1300"/>
      <c r="AZ901" s="2"/>
      <c r="BB901" s="23"/>
      <c r="BC901" s="646"/>
      <c r="BD901" s="1574"/>
      <c r="BE901" s="1574"/>
      <c r="BF901" s="11"/>
    </row>
    <row r="902" spans="1:58" ht="13" customHeight="1">
      <c r="H902" s="1104"/>
      <c r="I902" s="4"/>
      <c r="J902" s="4"/>
      <c r="K902" s="4"/>
      <c r="L902" s="4"/>
      <c r="M902" s="4"/>
      <c r="N902" s="4"/>
      <c r="O902" s="4"/>
      <c r="P902" s="4"/>
      <c r="Q902" s="4"/>
      <c r="R902" s="4"/>
      <c r="S902" s="4"/>
      <c r="T902" s="4"/>
      <c r="U902" s="4"/>
      <c r="V902" s="4"/>
      <c r="W902" s="4"/>
      <c r="X902" s="4"/>
      <c r="Y902" s="102" t="s">
        <v>1590</v>
      </c>
      <c r="Z902" s="1424">
        <f>Z899-(Z900+Z901)</f>
        <v>0</v>
      </c>
      <c r="AA902" s="1425"/>
      <c r="AB902" s="1425"/>
      <c r="AC902" s="1425"/>
      <c r="AD902" s="1425"/>
      <c r="AE902" s="1426"/>
      <c r="AZ902" s="2"/>
      <c r="BB902" s="23"/>
      <c r="BC902" s="646"/>
      <c r="BD902" s="1574"/>
      <c r="BE902" s="1574"/>
      <c r="BF902" s="11"/>
    </row>
    <row r="903" spans="1:58" ht="13" customHeight="1">
      <c r="C903" s="363"/>
      <c r="D903" s="1151"/>
      <c r="E903" s="1129"/>
      <c r="F903" s="1129"/>
      <c r="G903" s="112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29"/>
      <c r="AZ903" s="2"/>
      <c r="BB903" s="23"/>
      <c r="BC903" s="646"/>
      <c r="BD903" s="1574"/>
      <c r="BE903" s="1574"/>
      <c r="BF903" s="11"/>
    </row>
    <row r="904" spans="1:58" ht="13" customHeight="1">
      <c r="C904" t="s">
        <v>1591</v>
      </c>
      <c r="D904" s="12"/>
      <c r="E904" s="1129"/>
      <c r="F904" s="1129"/>
      <c r="G904" s="112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29"/>
      <c r="AZ904" s="2"/>
      <c r="BB904" s="23"/>
      <c r="BC904" s="646"/>
      <c r="BD904" s="1575"/>
      <c r="BE904" s="1574"/>
      <c r="BF904" s="11"/>
    </row>
    <row r="905" spans="1:58" ht="13" customHeight="1">
      <c r="C905" s="103" t="s">
        <v>1592</v>
      </c>
      <c r="D905" s="12"/>
      <c r="E905" s="1129"/>
      <c r="F905" s="1129"/>
      <c r="G905" s="112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29"/>
      <c r="AV905" s="54"/>
      <c r="AW905" s="54"/>
      <c r="AX905" s="54"/>
      <c r="AY905" s="54"/>
      <c r="AZ905" s="2"/>
      <c r="BB905" s="23"/>
      <c r="BC905" s="646"/>
      <c r="BD905" s="1603"/>
      <c r="BE905" s="1603"/>
      <c r="BF905" s="1603"/>
    </row>
    <row r="906" spans="1:58" ht="13" customHeight="1">
      <c r="C906" s="103" t="s">
        <v>1593</v>
      </c>
      <c r="D906" s="12"/>
      <c r="E906" s="1129"/>
      <c r="F906" s="1129"/>
      <c r="G906" s="112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29"/>
      <c r="AV906" s="54"/>
      <c r="AW906" s="54"/>
      <c r="AX906" s="54"/>
      <c r="AY906" s="54"/>
      <c r="AZ906" s="2"/>
      <c r="BB906" s="23"/>
      <c r="BC906" s="646"/>
      <c r="BD906" s="1602"/>
      <c r="BE906" s="1602"/>
      <c r="BF906" s="1602"/>
    </row>
    <row r="907" spans="1:58" ht="13" customHeight="1">
      <c r="C907" s="215" t="s">
        <v>1594</v>
      </c>
      <c r="D907" s="12"/>
      <c r="E907" s="1129"/>
      <c r="F907" s="1129"/>
      <c r="G907" s="112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29"/>
      <c r="AV907" s="54"/>
      <c r="AW907" s="54"/>
      <c r="AX907" s="54"/>
      <c r="AY907" s="54"/>
      <c r="AZ907" s="2"/>
      <c r="BB907" s="23"/>
      <c r="BC907" s="646"/>
      <c r="BD907" s="1574"/>
      <c r="BE907" s="1574"/>
      <c r="BF907" s="11"/>
    </row>
    <row r="908" spans="1:58" ht="13" customHeight="1">
      <c r="D908" s="12"/>
      <c r="E908" s="1178"/>
      <c r="F908" s="1178"/>
      <c r="G908" s="1178"/>
      <c r="H908" s="1178"/>
      <c r="I908" s="1178"/>
      <c r="J908" s="1178"/>
      <c r="K908" s="1178"/>
      <c r="L908" s="1178"/>
      <c r="M908" s="1178"/>
      <c r="N908" s="1178"/>
      <c r="O908" s="1178"/>
      <c r="P908" s="1178"/>
      <c r="Q908" s="1178"/>
      <c r="R908" s="1178"/>
      <c r="S908" s="1178"/>
      <c r="T908" s="1178"/>
      <c r="U908" s="1178"/>
      <c r="V908" s="1178"/>
      <c r="W908" s="1178"/>
      <c r="X908" s="1178"/>
      <c r="Y908" s="1178"/>
      <c r="Z908" s="1178"/>
      <c r="AA908" s="1178"/>
      <c r="AB908" s="1178"/>
      <c r="AC908" s="1178"/>
      <c r="AD908" s="1178"/>
      <c r="AE908" s="1178"/>
      <c r="AF908" s="1178"/>
      <c r="AG908" s="1178"/>
      <c r="AH908" s="1178"/>
      <c r="AI908" s="1178"/>
      <c r="AV908" s="54"/>
      <c r="AW908" s="54"/>
      <c r="AX908" s="54"/>
      <c r="AY908" s="54"/>
      <c r="AZ908" s="2"/>
      <c r="BB908" s="23"/>
      <c r="BC908" s="646"/>
      <c r="BD908" s="1575"/>
      <c r="BE908" s="1574"/>
      <c r="BF908" s="11"/>
    </row>
    <row r="909" spans="1:58" ht="13" customHeight="1">
      <c r="AZ909" s="2"/>
      <c r="BB909" s="23"/>
      <c r="BC909" s="646"/>
    </row>
    <row r="910" spans="1:58" ht="13" customHeight="1">
      <c r="A910" s="1482" t="s">
        <v>1595</v>
      </c>
      <c r="B910" s="1482"/>
      <c r="C910" s="1482"/>
      <c r="D910" s="1482"/>
      <c r="E910" s="1482"/>
      <c r="F910" s="1482"/>
      <c r="G910" s="1482"/>
      <c r="H910" s="1482"/>
      <c r="I910" s="1482"/>
      <c r="J910" s="1482"/>
      <c r="K910" s="1482"/>
      <c r="L910" s="1482"/>
      <c r="M910" s="1482"/>
      <c r="N910" s="1482"/>
      <c r="O910" s="1482"/>
      <c r="P910" s="1482"/>
      <c r="Q910" s="1482"/>
      <c r="R910" s="1482"/>
      <c r="S910" s="1482"/>
      <c r="T910" s="1482"/>
      <c r="U910" s="1482"/>
      <c r="V910" s="1482"/>
      <c r="W910" s="1482"/>
      <c r="X910" s="1482"/>
      <c r="Y910" s="1482"/>
      <c r="Z910" s="1482"/>
      <c r="AA910" s="1482"/>
      <c r="AB910" s="1482"/>
      <c r="AC910" s="1482"/>
      <c r="AD910" s="1482"/>
      <c r="AE910" s="1482"/>
      <c r="AF910" s="1482"/>
      <c r="AG910" s="1482"/>
      <c r="AH910" s="1482"/>
      <c r="AI910" s="1482"/>
      <c r="AJ910" s="1482"/>
      <c r="AK910" s="1482"/>
      <c r="AL910" s="1482"/>
      <c r="AM910" s="1482"/>
      <c r="AN910" s="1482"/>
      <c r="AO910" s="1482"/>
      <c r="AP910" s="1482"/>
      <c r="AQ910" s="1482"/>
      <c r="AR910" s="1482"/>
      <c r="AS910" s="1482"/>
      <c r="AT910" s="1482"/>
      <c r="AZ910" s="2"/>
      <c r="BA910" s="2"/>
      <c r="BB910" s="23"/>
      <c r="BC910" s="23"/>
      <c r="BD910" s="1575"/>
      <c r="BE910" s="1574"/>
      <c r="BF910" s="717"/>
    </row>
    <row r="911" spans="1:58" ht="13" customHeight="1">
      <c r="A911" s="1482"/>
      <c r="B911" s="1482"/>
      <c r="C911" s="1482"/>
      <c r="D911" s="1482"/>
      <c r="E911" s="1482"/>
      <c r="F911" s="1482"/>
      <c r="G911" s="1482"/>
      <c r="H911" s="1482"/>
      <c r="I911" s="1482"/>
      <c r="J911" s="1482"/>
      <c r="K911" s="1482"/>
      <c r="L911" s="1482"/>
      <c r="M911" s="1482"/>
      <c r="N911" s="1482"/>
      <c r="O911" s="1482"/>
      <c r="P911" s="1482"/>
      <c r="Q911" s="1482"/>
      <c r="R911" s="1482"/>
      <c r="S911" s="1482"/>
      <c r="T911" s="1482"/>
      <c r="U911" s="1482"/>
      <c r="V911" s="1482"/>
      <c r="W911" s="1482"/>
      <c r="X911" s="1482"/>
      <c r="Y911" s="1482"/>
      <c r="Z911" s="1482"/>
      <c r="AA911" s="1482"/>
      <c r="AB911" s="1482"/>
      <c r="AC911" s="1482"/>
      <c r="AD911" s="1482"/>
      <c r="AE911" s="1482"/>
      <c r="AF911" s="1482"/>
      <c r="AG911" s="1482"/>
      <c r="AH911" s="1482"/>
      <c r="AI911" s="1482"/>
      <c r="AJ911" s="1482"/>
      <c r="AK911" s="1482"/>
      <c r="AL911" s="1482"/>
      <c r="AM911" s="1482"/>
      <c r="AN911" s="1482"/>
      <c r="AO911" s="1482"/>
      <c r="AP911" s="1482"/>
      <c r="AQ911" s="1482"/>
      <c r="AR911" s="1482"/>
      <c r="AS911" s="1482"/>
      <c r="AT911" s="1482"/>
      <c r="AZ911" s="2"/>
      <c r="BA911" s="2"/>
      <c r="BB911" s="2"/>
      <c r="BC911" s="2"/>
      <c r="BD911" s="2"/>
      <c r="BE911" s="2"/>
      <c r="BF911" s="2"/>
    </row>
    <row r="912" spans="1:58" ht="13"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3" customHeight="1">
      <c r="A913" s="1" t="s">
        <v>872</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3" customHeight="1">
      <c r="AZ914" s="2"/>
      <c r="BA914" s="2"/>
      <c r="BB914" s="2"/>
      <c r="BC914" s="2"/>
    </row>
    <row r="915" spans="1:58" ht="13" customHeight="1">
      <c r="F915" s="1646" t="s">
        <v>1596</v>
      </c>
      <c r="G915" s="1647"/>
      <c r="H915" s="1647"/>
      <c r="I915" s="1647"/>
      <c r="J915" s="1647"/>
      <c r="K915" s="1647"/>
      <c r="L915" s="1647"/>
      <c r="M915" s="1647"/>
      <c r="N915" s="1647"/>
      <c r="O915" s="1647"/>
      <c r="P915" s="1647"/>
      <c r="Q915" s="1647"/>
      <c r="R915" s="1647"/>
      <c r="S915" s="1647"/>
      <c r="T915" s="1648"/>
      <c r="U915" s="1689" t="s">
        <v>1597</v>
      </c>
      <c r="V915" s="1625"/>
      <c r="W915" s="1625"/>
      <c r="X915" s="1625"/>
      <c r="Y915" s="1625"/>
      <c r="Z915" s="1625"/>
      <c r="AA915" s="1165"/>
      <c r="AB915" s="191"/>
      <c r="AC915" s="191"/>
      <c r="AD915" s="191"/>
      <c r="AE915" s="191"/>
      <c r="AF915" s="1056"/>
      <c r="AZ915" s="2"/>
      <c r="BA915" s="2"/>
      <c r="BB915" s="2"/>
      <c r="BC915" s="2"/>
    </row>
    <row r="916" spans="1:58" ht="13" customHeight="1">
      <c r="B916" s="1"/>
      <c r="F916" s="1690" t="s">
        <v>1598</v>
      </c>
      <c r="G916" s="1691"/>
      <c r="H916" s="1691"/>
      <c r="I916" s="1691"/>
      <c r="J916" s="1691"/>
      <c r="K916" s="1691"/>
      <c r="L916" s="1691"/>
      <c r="M916" s="1691"/>
      <c r="N916" s="1691"/>
      <c r="O916" s="1691"/>
      <c r="P916" s="1691"/>
      <c r="Q916" s="1691"/>
      <c r="R916" s="1691"/>
      <c r="S916" s="1691"/>
      <c r="T916" s="1713"/>
      <c r="U916" s="1690"/>
      <c r="V916" s="1691"/>
      <c r="W916" s="1691"/>
      <c r="X916" s="1691"/>
      <c r="Y916" s="1691"/>
      <c r="Z916" s="1691"/>
      <c r="AA916" s="1166"/>
      <c r="AB916" s="2"/>
      <c r="AC916" s="2"/>
      <c r="AD916" s="2"/>
      <c r="AE916" s="2"/>
      <c r="AF916" s="1057"/>
      <c r="AZ916" s="2"/>
      <c r="BA916" s="2"/>
      <c r="BB916" s="2"/>
      <c r="BC916" s="2"/>
    </row>
    <row r="917" spans="1:58" ht="13" customHeight="1">
      <c r="B917" s="1"/>
      <c r="F917" s="1692"/>
      <c r="G917" s="1627"/>
      <c r="H917" s="1627"/>
      <c r="I917" s="1627"/>
      <c r="J917" s="1627"/>
      <c r="K917" s="1627"/>
      <c r="L917" s="1627"/>
      <c r="M917" s="1627"/>
      <c r="N917" s="1627"/>
      <c r="O917" s="1627"/>
      <c r="P917" s="1627"/>
      <c r="Q917" s="1627"/>
      <c r="R917" s="1627"/>
      <c r="S917" s="1627"/>
      <c r="T917" s="1628"/>
      <c r="U917" s="1692"/>
      <c r="V917" s="1627"/>
      <c r="W917" s="1627"/>
      <c r="X917" s="1627"/>
      <c r="Y917" s="1627"/>
      <c r="Z917" s="1627"/>
      <c r="AA917" s="709"/>
      <c r="AB917" s="1383" t="s">
        <v>1599</v>
      </c>
      <c r="AC917" s="1383"/>
      <c r="AD917" s="1383"/>
      <c r="AE917" s="1383"/>
      <c r="AF917" s="1058"/>
      <c r="AZ917" s="2"/>
      <c r="BA917" s="2"/>
      <c r="BB917" s="2"/>
      <c r="BC917" s="2"/>
    </row>
    <row r="918" spans="1:58" ht="13" customHeight="1">
      <c r="B918" s="1"/>
      <c r="F918" s="1104" t="s">
        <v>1600</v>
      </c>
      <c r="G918" s="32"/>
      <c r="H918" s="32"/>
      <c r="I918" s="32"/>
      <c r="J918" s="32"/>
      <c r="K918" s="32"/>
      <c r="L918" s="32"/>
      <c r="M918" s="32"/>
      <c r="N918" s="32"/>
      <c r="O918" s="32"/>
      <c r="P918" s="32"/>
      <c r="Q918" s="32"/>
      <c r="R918" s="32"/>
      <c r="S918" s="32"/>
      <c r="T918" s="33"/>
      <c r="U918" s="1568" t="s">
        <v>847</v>
      </c>
      <c r="V918" s="1379"/>
      <c r="W918" s="1379"/>
      <c r="X918" s="1379"/>
      <c r="Y918" s="1379"/>
      <c r="Z918" s="1380"/>
      <c r="AA918" s="1572">
        <f>AM554</f>
        <v>21709330</v>
      </c>
      <c r="AB918" s="1474"/>
      <c r="AC918" s="1474"/>
      <c r="AD918" s="1474"/>
      <c r="AE918" s="1474"/>
      <c r="AF918" s="1573"/>
      <c r="AZ918" s="2"/>
      <c r="BA918" s="2"/>
      <c r="BB918" s="2"/>
      <c r="BC918" s="2"/>
    </row>
    <row r="919" spans="1:58" ht="13" customHeight="1">
      <c r="B919" s="1"/>
      <c r="F919" s="1106" t="s">
        <v>1601</v>
      </c>
      <c r="G919" s="32"/>
      <c r="H919" s="32"/>
      <c r="I919" s="32"/>
      <c r="J919" s="32"/>
      <c r="K919" s="32"/>
      <c r="L919" s="32"/>
      <c r="M919" s="32"/>
      <c r="N919" s="32"/>
      <c r="O919" s="32"/>
      <c r="P919" s="32"/>
      <c r="Q919" s="32"/>
      <c r="R919" s="32"/>
      <c r="S919" s="32"/>
      <c r="T919" s="33"/>
      <c r="U919" s="1568" t="s">
        <v>847</v>
      </c>
      <c r="V919" s="1379"/>
      <c r="W919" s="1379"/>
      <c r="X919" s="1379"/>
      <c r="Y919" s="1379"/>
      <c r="Z919" s="1380"/>
      <c r="AA919" s="1572">
        <f>AM555</f>
        <v>693126</v>
      </c>
      <c r="AB919" s="1474"/>
      <c r="AC919" s="1474"/>
      <c r="AD919" s="1474"/>
      <c r="AE919" s="1474"/>
      <c r="AF919" s="1573"/>
      <c r="AZ919" s="2"/>
      <c r="BA919" s="2"/>
      <c r="BB919" s="2"/>
      <c r="BC919" s="2"/>
    </row>
    <row r="920" spans="1:58" ht="13" customHeight="1">
      <c r="F920" s="1104" t="s">
        <v>1602</v>
      </c>
      <c r="G920" s="4"/>
      <c r="H920" s="4"/>
      <c r="I920" s="4"/>
      <c r="J920" s="4"/>
      <c r="K920" s="4"/>
      <c r="L920" s="4"/>
      <c r="M920" s="4"/>
      <c r="N920" s="4"/>
      <c r="O920" s="4"/>
      <c r="P920" s="4"/>
      <c r="Q920" s="4"/>
      <c r="R920" s="4"/>
      <c r="S920" s="4"/>
      <c r="T920" s="1105"/>
      <c r="U920" s="1568" t="s">
        <v>847</v>
      </c>
      <c r="V920" s="1379"/>
      <c r="W920" s="1379"/>
      <c r="X920" s="1379"/>
      <c r="Y920" s="1379"/>
      <c r="Z920" s="1380"/>
      <c r="AA920" s="1572">
        <v>11000000</v>
      </c>
      <c r="AB920" s="1474"/>
      <c r="AC920" s="1474"/>
      <c r="AD920" s="1474"/>
      <c r="AE920" s="1474"/>
      <c r="AF920" s="1573"/>
      <c r="AZ920" s="2"/>
      <c r="BA920" s="2"/>
      <c r="BB920" s="2"/>
      <c r="BC920" s="2"/>
    </row>
    <row r="921" spans="1:58" ht="13" customHeight="1">
      <c r="F921" s="1104" t="s">
        <v>1603</v>
      </c>
      <c r="G921" s="4"/>
      <c r="H921" s="4"/>
      <c r="I921" s="4"/>
      <c r="J921" s="4"/>
      <c r="K921" s="4"/>
      <c r="L921" s="4"/>
      <c r="M921" s="4"/>
      <c r="N921" s="4"/>
      <c r="O921" s="4"/>
      <c r="P921" s="4"/>
      <c r="Q921" s="4"/>
      <c r="R921" s="4"/>
      <c r="S921" s="4"/>
      <c r="T921" s="1105"/>
      <c r="U921" s="1568" t="s">
        <v>798</v>
      </c>
      <c r="V921" s="1379"/>
      <c r="W921" s="1379"/>
      <c r="X921" s="1379"/>
      <c r="Y921" s="1379"/>
      <c r="Z921" s="1380"/>
      <c r="AA921" s="1572"/>
      <c r="AB921" s="1474"/>
      <c r="AC921" s="1474"/>
      <c r="AD921" s="1474"/>
      <c r="AE921" s="1474"/>
      <c r="AF921" s="1573"/>
      <c r="AZ921" s="2"/>
      <c r="BA921" s="2"/>
      <c r="BB921" s="2"/>
      <c r="BC921" s="2"/>
    </row>
    <row r="922" spans="1:58" ht="13" customHeight="1">
      <c r="F922" s="1106" t="s">
        <v>1604</v>
      </c>
      <c r="G922" s="4"/>
      <c r="H922" s="4"/>
      <c r="I922" s="4"/>
      <c r="J922" s="4"/>
      <c r="K922" s="4"/>
      <c r="L922" s="4"/>
      <c r="M922" s="4"/>
      <c r="N922" s="4"/>
      <c r="O922" s="4"/>
      <c r="P922" s="4"/>
      <c r="Q922" s="4"/>
      <c r="R922" s="4"/>
      <c r="S922" s="4"/>
      <c r="T922" s="1105"/>
      <c r="U922" s="1568" t="s">
        <v>798</v>
      </c>
      <c r="V922" s="1379"/>
      <c r="W922" s="1379"/>
      <c r="X922" s="1379"/>
      <c r="Y922" s="1379"/>
      <c r="Z922" s="1380"/>
      <c r="AA922" s="1572"/>
      <c r="AB922" s="1474"/>
      <c r="AC922" s="1474"/>
      <c r="AD922" s="1474"/>
      <c r="AE922" s="1474"/>
      <c r="AF922" s="1573"/>
      <c r="AZ922" s="2"/>
      <c r="BA922" s="2"/>
      <c r="BB922" s="2"/>
      <c r="BC922" s="2"/>
    </row>
    <row r="923" spans="1:58" ht="13" customHeight="1">
      <c r="F923" s="1106" t="s">
        <v>1605</v>
      </c>
      <c r="G923" s="4"/>
      <c r="H923" s="4"/>
      <c r="I923" s="4"/>
      <c r="J923" s="4"/>
      <c r="K923" s="4"/>
      <c r="L923" s="4"/>
      <c r="M923" s="4"/>
      <c r="N923" s="4"/>
      <c r="O923" s="4"/>
      <c r="P923" s="4"/>
      <c r="Q923" s="4"/>
      <c r="R923" s="4"/>
      <c r="S923" s="4"/>
      <c r="T923" s="1105"/>
      <c r="U923" s="1568" t="s">
        <v>798</v>
      </c>
      <c r="V923" s="1379"/>
      <c r="W923" s="1379"/>
      <c r="X923" s="1379"/>
      <c r="Y923" s="1379"/>
      <c r="Z923" s="1380"/>
      <c r="AA923" s="1572"/>
      <c r="AB923" s="1474"/>
      <c r="AC923" s="1474"/>
      <c r="AD923" s="1474"/>
      <c r="AE923" s="1474"/>
      <c r="AF923" s="1573"/>
      <c r="AZ923" s="2"/>
      <c r="BA923" s="2"/>
      <c r="BB923" s="2"/>
      <c r="BC923" s="2"/>
    </row>
    <row r="924" spans="1:58" ht="13" customHeight="1">
      <c r="F924" s="1106" t="s">
        <v>1606</v>
      </c>
      <c r="G924" s="4"/>
      <c r="H924" s="4"/>
      <c r="I924" s="4"/>
      <c r="J924" s="4"/>
      <c r="K924" s="4"/>
      <c r="L924" s="4"/>
      <c r="M924" s="4"/>
      <c r="N924" s="4"/>
      <c r="O924" s="4"/>
      <c r="P924" s="4"/>
      <c r="Q924" s="4"/>
      <c r="R924" s="4"/>
      <c r="S924" s="4"/>
      <c r="T924" s="1105"/>
      <c r="U924" s="1568" t="s">
        <v>798</v>
      </c>
      <c r="V924" s="1379"/>
      <c r="W924" s="1379"/>
      <c r="X924" s="1379"/>
      <c r="Y924" s="1379"/>
      <c r="Z924" s="1380"/>
      <c r="AA924" s="1572"/>
      <c r="AB924" s="1474"/>
      <c r="AC924" s="1474"/>
      <c r="AD924" s="1474"/>
      <c r="AE924" s="1474"/>
      <c r="AF924" s="1573"/>
      <c r="AZ924" s="2"/>
      <c r="BA924" s="2"/>
      <c r="BB924" s="2"/>
      <c r="BC924" s="2"/>
    </row>
    <row r="925" spans="1:58" ht="13" customHeight="1">
      <c r="F925" s="1104" t="s">
        <v>1607</v>
      </c>
      <c r="G925" s="4"/>
      <c r="H925" s="4"/>
      <c r="I925" s="4"/>
      <c r="J925" s="4"/>
      <c r="K925" s="4"/>
      <c r="L925" s="4"/>
      <c r="M925" s="4"/>
      <c r="N925" s="4"/>
      <c r="O925" s="4"/>
      <c r="P925" s="4"/>
      <c r="Q925" s="4"/>
      <c r="R925" s="4"/>
      <c r="S925" s="4"/>
      <c r="T925" s="1105"/>
      <c r="U925" s="1568" t="s">
        <v>798</v>
      </c>
      <c r="V925" s="1379"/>
      <c r="W925" s="1379"/>
      <c r="X925" s="1379"/>
      <c r="Y925" s="1379"/>
      <c r="Z925" s="1380"/>
      <c r="AA925" s="1572"/>
      <c r="AB925" s="1474"/>
      <c r="AC925" s="1474"/>
      <c r="AD925" s="1474"/>
      <c r="AE925" s="1474"/>
      <c r="AF925" s="1573"/>
      <c r="AZ925" s="2"/>
      <c r="BA925" s="2"/>
      <c r="BB925" s="2"/>
      <c r="BC925" s="2"/>
    </row>
    <row r="926" spans="1:58" ht="13" customHeight="1">
      <c r="F926" s="1565" t="s">
        <v>1608</v>
      </c>
      <c r="G926" s="1566"/>
      <c r="H926" s="1566"/>
      <c r="I926" s="1566"/>
      <c r="J926" s="1566"/>
      <c r="K926" s="1566"/>
      <c r="L926" s="1566"/>
      <c r="M926" s="1566"/>
      <c r="N926" s="1566"/>
      <c r="O926" s="1566"/>
      <c r="P926" s="1566"/>
      <c r="Q926" s="1566"/>
      <c r="R926" s="1566"/>
      <c r="S926" s="1566"/>
      <c r="T926" s="1567"/>
      <c r="U926" s="1568" t="s">
        <v>798</v>
      </c>
      <c r="V926" s="1379"/>
      <c r="W926" s="1379"/>
      <c r="X926" s="1379"/>
      <c r="Y926" s="1379"/>
      <c r="Z926" s="1380"/>
      <c r="AA926" s="1572"/>
      <c r="AB926" s="1474"/>
      <c r="AC926" s="1474"/>
      <c r="AD926" s="1474"/>
      <c r="AE926" s="1474"/>
      <c r="AF926" s="1573"/>
      <c r="AZ926" s="2"/>
      <c r="BA926" s="2"/>
      <c r="BB926" s="2"/>
      <c r="BC926" s="2"/>
    </row>
    <row r="927" spans="1:58" ht="13" customHeight="1">
      <c r="F927" s="1565" t="s">
        <v>1609</v>
      </c>
      <c r="G927" s="1566"/>
      <c r="H927" s="1566"/>
      <c r="I927" s="1566"/>
      <c r="J927" s="1566"/>
      <c r="K927" s="1566"/>
      <c r="L927" s="1566"/>
      <c r="M927" s="1566"/>
      <c r="N927" s="1566"/>
      <c r="O927" s="1566"/>
      <c r="P927" s="1566"/>
      <c r="Q927" s="1566"/>
      <c r="R927" s="1566"/>
      <c r="S927" s="1566"/>
      <c r="T927" s="1567"/>
      <c r="U927" s="1568" t="s">
        <v>798</v>
      </c>
      <c r="V927" s="1379"/>
      <c r="W927" s="1379"/>
      <c r="X927" s="1379"/>
      <c r="Y927" s="1379"/>
      <c r="Z927" s="1380"/>
      <c r="AA927" s="1572"/>
      <c r="AB927" s="1474"/>
      <c r="AC927" s="1474"/>
      <c r="AD927" s="1474"/>
      <c r="AE927" s="1474"/>
      <c r="AF927" s="1573"/>
      <c r="AU927" s="1"/>
      <c r="AZ927" s="2"/>
      <c r="BA927" s="2"/>
      <c r="BB927" s="2"/>
      <c r="BC927" s="2"/>
    </row>
    <row r="928" spans="1:58" ht="13" customHeight="1">
      <c r="F928" s="1565" t="s">
        <v>1610</v>
      </c>
      <c r="G928" s="1566"/>
      <c r="H928" s="1566"/>
      <c r="I928" s="1566"/>
      <c r="J928" s="1566"/>
      <c r="K928" s="1566"/>
      <c r="L928" s="1566"/>
      <c r="M928" s="1566"/>
      <c r="N928" s="1566"/>
      <c r="O928" s="1566"/>
      <c r="P928" s="1566"/>
      <c r="Q928" s="1566"/>
      <c r="R928" s="1566"/>
      <c r="S928" s="1566"/>
      <c r="T928" s="1567"/>
      <c r="U928" s="1568" t="s">
        <v>798</v>
      </c>
      <c r="V928" s="1379"/>
      <c r="W928" s="1379"/>
      <c r="X928" s="1379"/>
      <c r="Y928" s="1379"/>
      <c r="Z928" s="1380"/>
      <c r="AA928" s="1572"/>
      <c r="AB928" s="1474"/>
      <c r="AC928" s="1474"/>
      <c r="AD928" s="1474"/>
      <c r="AE928" s="1474"/>
      <c r="AF928" s="1573"/>
      <c r="AU928" s="1"/>
      <c r="AZ928" s="2"/>
      <c r="BA928" s="2"/>
      <c r="BB928" s="2"/>
      <c r="BC928" s="2"/>
    </row>
    <row r="929" spans="6:55" ht="13" customHeight="1">
      <c r="F929" s="1565" t="s">
        <v>1611</v>
      </c>
      <c r="G929" s="1566"/>
      <c r="H929" s="1566"/>
      <c r="I929" s="1566"/>
      <c r="J929" s="1566"/>
      <c r="K929" s="1566"/>
      <c r="L929" s="1566"/>
      <c r="M929" s="1566"/>
      <c r="N929" s="1566"/>
      <c r="O929" s="1566"/>
      <c r="P929" s="1566"/>
      <c r="Q929" s="1566"/>
      <c r="R929" s="1566"/>
      <c r="S929" s="1566"/>
      <c r="T929" s="1567"/>
      <c r="U929" s="1568" t="s">
        <v>798</v>
      </c>
      <c r="V929" s="1379"/>
      <c r="W929" s="1379"/>
      <c r="X929" s="1379"/>
      <c r="Y929" s="1379"/>
      <c r="Z929" s="1380"/>
      <c r="AA929" s="1572"/>
      <c r="AB929" s="1474"/>
      <c r="AC929" s="1474"/>
      <c r="AD929" s="1474"/>
      <c r="AE929" s="1474"/>
      <c r="AF929" s="1573"/>
      <c r="AU929" s="1"/>
      <c r="AZ929" s="2"/>
      <c r="BA929" s="2"/>
      <c r="BB929" s="2"/>
      <c r="BC929" s="2"/>
    </row>
    <row r="930" spans="6:55" ht="13" customHeight="1">
      <c r="F930" s="1565" t="s">
        <v>1612</v>
      </c>
      <c r="G930" s="1566"/>
      <c r="H930" s="1566"/>
      <c r="I930" s="1566"/>
      <c r="J930" s="1566"/>
      <c r="K930" s="1566"/>
      <c r="L930" s="1566"/>
      <c r="M930" s="1566"/>
      <c r="N930" s="1566"/>
      <c r="O930" s="1566"/>
      <c r="P930" s="1566"/>
      <c r="Q930" s="1566"/>
      <c r="R930" s="1566"/>
      <c r="S930" s="1566"/>
      <c r="T930" s="1567"/>
      <c r="U930" s="1568" t="s">
        <v>798</v>
      </c>
      <c r="V930" s="1379"/>
      <c r="W930" s="1379"/>
      <c r="X930" s="1379"/>
      <c r="Y930" s="1379"/>
      <c r="Z930" s="1380"/>
      <c r="AA930" s="1572"/>
      <c r="AB930" s="1474"/>
      <c r="AC930" s="1474"/>
      <c r="AD930" s="1474"/>
      <c r="AE930" s="1474"/>
      <c r="AF930" s="1573"/>
      <c r="AU930" s="1"/>
      <c r="AZ930" s="2"/>
      <c r="BA930" s="2"/>
      <c r="BB930" s="2"/>
      <c r="BC930" s="2"/>
    </row>
    <row r="931" spans="6:55" ht="13" customHeight="1">
      <c r="F931" s="1565" t="s">
        <v>1613</v>
      </c>
      <c r="G931" s="1566"/>
      <c r="H931" s="1566"/>
      <c r="I931" s="1566"/>
      <c r="J931" s="1566"/>
      <c r="K931" s="1566"/>
      <c r="L931" s="1566"/>
      <c r="M931" s="1566"/>
      <c r="N931" s="1566"/>
      <c r="O931" s="1566"/>
      <c r="P931" s="1566"/>
      <c r="Q931" s="1566"/>
      <c r="R931" s="1566"/>
      <c r="S931" s="1566"/>
      <c r="T931" s="1567"/>
      <c r="U931" s="1568" t="s">
        <v>798</v>
      </c>
      <c r="V931" s="1379"/>
      <c r="W931" s="1379"/>
      <c r="X931" s="1379"/>
      <c r="Y931" s="1379"/>
      <c r="Z931" s="1380"/>
      <c r="AA931" s="1572"/>
      <c r="AB931" s="1474"/>
      <c r="AC931" s="1474"/>
      <c r="AD931" s="1474"/>
      <c r="AE931" s="1474"/>
      <c r="AF931" s="1573"/>
      <c r="AU931" s="1"/>
      <c r="AZ931" s="2"/>
      <c r="BA931" s="2"/>
      <c r="BB931" s="2"/>
      <c r="BC931" s="2"/>
    </row>
    <row r="932" spans="6:55" ht="13" customHeight="1">
      <c r="F932" s="1565" t="s">
        <v>1614</v>
      </c>
      <c r="G932" s="1566"/>
      <c r="H932" s="1566"/>
      <c r="I932" s="1566"/>
      <c r="J932" s="1566"/>
      <c r="K932" s="1566"/>
      <c r="L932" s="1566"/>
      <c r="M932" s="1566"/>
      <c r="N932" s="1566"/>
      <c r="O932" s="1566"/>
      <c r="P932" s="1566"/>
      <c r="Q932" s="1566"/>
      <c r="R932" s="1566"/>
      <c r="S932" s="1566"/>
      <c r="T932" s="1567"/>
      <c r="U932" s="1568" t="s">
        <v>798</v>
      </c>
      <c r="V932" s="1379"/>
      <c r="W932" s="1379"/>
      <c r="X932" s="1379"/>
      <c r="Y932" s="1379"/>
      <c r="Z932" s="1380"/>
      <c r="AA932" s="1572"/>
      <c r="AB932" s="1474"/>
      <c r="AC932" s="1474"/>
      <c r="AD932" s="1474"/>
      <c r="AE932" s="1474"/>
      <c r="AF932" s="1573"/>
      <c r="AZ932" s="23"/>
      <c r="BA932" s="23"/>
    </row>
    <row r="933" spans="6:55" ht="13" customHeight="1">
      <c r="F933" s="100" t="s">
        <v>1615</v>
      </c>
      <c r="G933" s="4"/>
      <c r="H933" s="4"/>
      <c r="I933" s="4"/>
      <c r="J933" s="4"/>
      <c r="K933" s="4"/>
      <c r="L933" s="4"/>
      <c r="M933" s="4"/>
      <c r="N933" s="4"/>
      <c r="O933" s="4"/>
      <c r="P933" s="4"/>
      <c r="Q933" s="4"/>
      <c r="R933" s="4"/>
      <c r="S933" s="4"/>
      <c r="T933" s="1105"/>
      <c r="U933" s="1568" t="s">
        <v>798</v>
      </c>
      <c r="V933" s="1379"/>
      <c r="W933" s="1379"/>
      <c r="X933" s="1379"/>
      <c r="Y933" s="1379"/>
      <c r="Z933" s="1380"/>
      <c r="AA933" s="1572"/>
      <c r="AB933" s="1474"/>
      <c r="AC933" s="1474"/>
      <c r="AD933" s="1474"/>
      <c r="AE933" s="1474"/>
      <c r="AF933" s="1573"/>
    </row>
    <row r="934" spans="6:55" ht="13" customHeight="1">
      <c r="F934" s="1106" t="s">
        <v>1616</v>
      </c>
      <c r="G934" s="4"/>
      <c r="H934" s="4"/>
      <c r="I934" s="4"/>
      <c r="J934" s="4"/>
      <c r="K934" s="4"/>
      <c r="L934" s="4"/>
      <c r="M934" s="4"/>
      <c r="N934" s="4"/>
      <c r="O934" s="4"/>
      <c r="P934" s="4"/>
      <c r="Q934" s="4"/>
      <c r="R934" s="4"/>
      <c r="S934" s="4"/>
      <c r="T934" s="1105"/>
      <c r="U934" s="1568" t="s">
        <v>798</v>
      </c>
      <c r="V934" s="1379"/>
      <c r="W934" s="1379"/>
      <c r="X934" s="1379"/>
      <c r="Y934" s="1379"/>
      <c r="Z934" s="1380"/>
      <c r="AA934" s="1572"/>
      <c r="AB934" s="1474"/>
      <c r="AC934" s="1474"/>
      <c r="AD934" s="1474"/>
      <c r="AE934" s="1474"/>
      <c r="AF934" s="1573"/>
      <c r="AZ934" s="23"/>
      <c r="BA934" s="11"/>
    </row>
    <row r="935" spans="6:55" ht="13" customHeight="1">
      <c r="F935" s="1106" t="s">
        <v>1617</v>
      </c>
      <c r="G935" s="4"/>
      <c r="H935" s="4"/>
      <c r="I935" s="4"/>
      <c r="J935" s="4"/>
      <c r="K935" s="4"/>
      <c r="L935" s="4"/>
      <c r="M935" s="4"/>
      <c r="N935" s="4"/>
      <c r="O935" s="4"/>
      <c r="P935" s="4"/>
      <c r="Q935" s="4"/>
      <c r="R935" s="4"/>
      <c r="S935" s="4"/>
      <c r="T935" s="1105"/>
      <c r="U935" s="1568" t="s">
        <v>798</v>
      </c>
      <c r="V935" s="1379"/>
      <c r="W935" s="1379"/>
      <c r="X935" s="1379"/>
      <c r="Y935" s="1379"/>
      <c r="Z935" s="1380"/>
      <c r="AA935" s="1572"/>
      <c r="AB935" s="1474"/>
      <c r="AC935" s="1474"/>
      <c r="AD935" s="1474"/>
      <c r="AE935" s="1474"/>
      <c r="AF935" s="1573"/>
      <c r="AZ935" s="23"/>
      <c r="BA935" s="11"/>
    </row>
    <row r="936" spans="6:55" ht="13" customHeight="1">
      <c r="F936" s="1569" t="s">
        <v>1618</v>
      </c>
      <c r="G936" s="1570"/>
      <c r="H936" s="1570"/>
      <c r="I936" s="1570"/>
      <c r="J936" s="1570"/>
      <c r="K936" s="1570"/>
      <c r="L936" s="1570"/>
      <c r="M936" s="1570"/>
      <c r="N936" s="1570"/>
      <c r="O936" s="1570"/>
      <c r="P936" s="1570"/>
      <c r="Q936" s="1570"/>
      <c r="R936" s="1570"/>
      <c r="S936" s="1570"/>
      <c r="T936" s="1571"/>
      <c r="U936" s="1568" t="s">
        <v>798</v>
      </c>
      <c r="V936" s="1379"/>
      <c r="W936" s="1379"/>
      <c r="X936" s="1379"/>
      <c r="Y936" s="1379"/>
      <c r="Z936" s="1380"/>
      <c r="AA936" s="1572"/>
      <c r="AB936" s="1474"/>
      <c r="AC936" s="1474"/>
      <c r="AD936" s="1474"/>
      <c r="AE936" s="1474"/>
      <c r="AF936" s="1573"/>
      <c r="AZ936" s="23"/>
      <c r="BA936" s="11"/>
    </row>
    <row r="937" spans="6:55" ht="13" customHeight="1">
      <c r="F937" s="1569" t="s">
        <v>1619</v>
      </c>
      <c r="G937" s="1570"/>
      <c r="H937" s="1570"/>
      <c r="I937" s="1570"/>
      <c r="J937" s="1570"/>
      <c r="K937" s="1570"/>
      <c r="L937" s="1570"/>
      <c r="M937" s="1570"/>
      <c r="N937" s="1570"/>
      <c r="O937" s="1570"/>
      <c r="P937" s="1570"/>
      <c r="Q937" s="1570"/>
      <c r="R937" s="1570"/>
      <c r="S937" s="1570"/>
      <c r="T937" s="1571"/>
      <c r="U937" s="1568" t="s">
        <v>798</v>
      </c>
      <c r="V937" s="1379"/>
      <c r="W937" s="1379"/>
      <c r="X937" s="1379"/>
      <c r="Y937" s="1379"/>
      <c r="Z937" s="1380"/>
      <c r="AA937" s="1572"/>
      <c r="AB937" s="1474"/>
      <c r="AC937" s="1474"/>
      <c r="AD937" s="1474"/>
      <c r="AE937" s="1474"/>
      <c r="AF937" s="1573"/>
      <c r="AZ937" s="23"/>
      <c r="BA937" s="23"/>
    </row>
    <row r="938" spans="6:55" ht="13" customHeight="1">
      <c r="F938" s="1565" t="s">
        <v>1620</v>
      </c>
      <c r="G938" s="1566"/>
      <c r="H938" s="1566"/>
      <c r="I938" s="1566"/>
      <c r="J938" s="1566"/>
      <c r="K938" s="1566"/>
      <c r="L938" s="1566"/>
      <c r="M938" s="1566"/>
      <c r="N938" s="1566"/>
      <c r="O938" s="1566"/>
      <c r="P938" s="1566"/>
      <c r="Q938" s="1566"/>
      <c r="R938" s="1566"/>
      <c r="S938" s="1566"/>
      <c r="T938" s="1567"/>
      <c r="U938" s="1568" t="s">
        <v>798</v>
      </c>
      <c r="V938" s="1379"/>
      <c r="W938" s="1379"/>
      <c r="X938" s="1379"/>
      <c r="Y938" s="1379"/>
      <c r="Z938" s="1380"/>
      <c r="AA938" s="1572"/>
      <c r="AB938" s="1474"/>
      <c r="AC938" s="1474"/>
      <c r="AD938" s="1474"/>
      <c r="AE938" s="1474"/>
      <c r="AF938" s="1573"/>
      <c r="AZ938" s="23"/>
      <c r="BA938" s="23"/>
    </row>
    <row r="939" spans="6:55" ht="13" customHeight="1">
      <c r="F939" s="1565" t="s">
        <v>1621</v>
      </c>
      <c r="G939" s="1566"/>
      <c r="H939" s="1566"/>
      <c r="I939" s="1566"/>
      <c r="J939" s="1566"/>
      <c r="K939" s="1566"/>
      <c r="L939" s="1566"/>
      <c r="M939" s="1566"/>
      <c r="N939" s="1566"/>
      <c r="O939" s="1566"/>
      <c r="P939" s="1566"/>
      <c r="Q939" s="1566"/>
      <c r="R939" s="1566"/>
      <c r="S939" s="1566"/>
      <c r="T939" s="1567"/>
      <c r="U939" s="1568" t="s">
        <v>798</v>
      </c>
      <c r="V939" s="1379"/>
      <c r="W939" s="1379"/>
      <c r="X939" s="1379"/>
      <c r="Y939" s="1379"/>
      <c r="Z939" s="1380"/>
      <c r="AA939" s="1572"/>
      <c r="AB939" s="1474"/>
      <c r="AC939" s="1474"/>
      <c r="AD939" s="1474"/>
      <c r="AE939" s="1474"/>
      <c r="AF939" s="1573"/>
      <c r="AZ939" s="23"/>
      <c r="BA939" s="23"/>
    </row>
    <row r="940" spans="6:55" ht="13" customHeight="1">
      <c r="F940" s="1565" t="s">
        <v>1622</v>
      </c>
      <c r="G940" s="1566"/>
      <c r="H940" s="1566"/>
      <c r="I940" s="1566"/>
      <c r="J940" s="1566"/>
      <c r="K940" s="1566"/>
      <c r="L940" s="1566"/>
      <c r="M940" s="1566"/>
      <c r="N940" s="1566"/>
      <c r="O940" s="1566"/>
      <c r="P940" s="1566"/>
      <c r="Q940" s="1566"/>
      <c r="R940" s="1566"/>
      <c r="S940" s="1566"/>
      <c r="T940" s="1567"/>
      <c r="U940" s="1568" t="s">
        <v>798</v>
      </c>
      <c r="V940" s="1379"/>
      <c r="W940" s="1379"/>
      <c r="X940" s="1379"/>
      <c r="Y940" s="1379"/>
      <c r="Z940" s="1380"/>
      <c r="AA940" s="1572"/>
      <c r="AB940" s="1474"/>
      <c r="AC940" s="1474"/>
      <c r="AD940" s="1474"/>
      <c r="AE940" s="1474"/>
      <c r="AF940" s="1573"/>
      <c r="AZ940" s="2"/>
      <c r="BA940" s="2"/>
      <c r="BB940" s="11"/>
      <c r="BC940" s="11"/>
    </row>
    <row r="941" spans="6:55" ht="13" customHeight="1">
      <c r="F941" s="1106" t="s">
        <v>1623</v>
      </c>
      <c r="G941" s="4"/>
      <c r="H941" s="4"/>
      <c r="I941" s="4"/>
      <c r="J941" s="4"/>
      <c r="K941" s="4"/>
      <c r="L941" s="4"/>
      <c r="M941" s="4"/>
      <c r="N941" s="4"/>
      <c r="O941" s="4"/>
      <c r="P941" s="4"/>
      <c r="Q941" s="4"/>
      <c r="R941" s="4"/>
      <c r="S941" s="4"/>
      <c r="T941" s="1105"/>
      <c r="U941" s="1568" t="s">
        <v>798</v>
      </c>
      <c r="V941" s="1379"/>
      <c r="W941" s="1379"/>
      <c r="X941" s="1379"/>
      <c r="Y941" s="1379"/>
      <c r="Z941" s="1380"/>
      <c r="AA941" s="1572"/>
      <c r="AB941" s="1474"/>
      <c r="AC941" s="1474"/>
      <c r="AD941" s="1474"/>
      <c r="AE941" s="1474"/>
      <c r="AF941" s="1573"/>
      <c r="AZ941" s="2"/>
      <c r="BA941" s="2"/>
      <c r="BB941" s="11"/>
      <c r="BC941" s="11"/>
    </row>
    <row r="942" spans="6:55" ht="13" customHeight="1">
      <c r="F942" s="1569" t="s">
        <v>1624</v>
      </c>
      <c r="G942" s="1570"/>
      <c r="H942" s="1570"/>
      <c r="I942" s="1570"/>
      <c r="J942" s="1570"/>
      <c r="K942" s="1570"/>
      <c r="L942" s="1570"/>
      <c r="M942" s="1570"/>
      <c r="N942" s="1570"/>
      <c r="O942" s="1570"/>
      <c r="P942" s="1570"/>
      <c r="Q942" s="1570"/>
      <c r="R942" s="1570"/>
      <c r="S942" s="1570"/>
      <c r="T942" s="1571"/>
      <c r="U942" s="1568" t="s">
        <v>798</v>
      </c>
      <c r="V942" s="1379"/>
      <c r="W942" s="1379"/>
      <c r="X942" s="1379"/>
      <c r="Y942" s="1379"/>
      <c r="Z942" s="1380"/>
      <c r="AA942" s="1572"/>
      <c r="AB942" s="1474"/>
      <c r="AC942" s="1474"/>
      <c r="AD942" s="1474"/>
      <c r="AE942" s="1474"/>
      <c r="AF942" s="1573"/>
      <c r="AZ942" s="2"/>
      <c r="BA942" s="2"/>
      <c r="BB942" s="2"/>
      <c r="BC942" s="2"/>
    </row>
    <row r="943" spans="6:55" ht="13" customHeight="1">
      <c r="F943" s="1106" t="s">
        <v>1625</v>
      </c>
      <c r="G943" s="4"/>
      <c r="H943" s="4"/>
      <c r="I943" s="4"/>
      <c r="J943" s="4"/>
      <c r="K943" s="4"/>
      <c r="L943" s="4"/>
      <c r="M943" s="4"/>
      <c r="N943" s="4"/>
      <c r="O943" s="4"/>
      <c r="P943" s="4"/>
      <c r="Q943" s="4"/>
      <c r="R943" s="4"/>
      <c r="S943" s="4"/>
      <c r="T943" s="1105"/>
      <c r="U943" s="1568" t="s">
        <v>798</v>
      </c>
      <c r="V943" s="1379"/>
      <c r="W943" s="1379"/>
      <c r="X943" s="1379"/>
      <c r="Y943" s="1379"/>
      <c r="Z943" s="1380"/>
      <c r="AA943" s="1572"/>
      <c r="AB943" s="1474"/>
      <c r="AC943" s="1474"/>
      <c r="AD943" s="1474"/>
      <c r="AE943" s="1474"/>
      <c r="AF943" s="1573"/>
      <c r="AZ943" s="2"/>
      <c r="BA943" s="2"/>
      <c r="BB943" s="2"/>
      <c r="BC943" s="2"/>
    </row>
    <row r="944" spans="6:55" ht="13" customHeight="1">
      <c r="F944" s="1569" t="s">
        <v>1626</v>
      </c>
      <c r="G944" s="1570"/>
      <c r="H944" s="1570"/>
      <c r="I944" s="1570"/>
      <c r="J944" s="1570"/>
      <c r="K944" s="1570"/>
      <c r="L944" s="1570"/>
      <c r="M944" s="1570"/>
      <c r="N944" s="1570"/>
      <c r="O944" s="1570"/>
      <c r="P944" s="1570"/>
      <c r="Q944" s="1570"/>
      <c r="R944" s="1570"/>
      <c r="S944" s="1570"/>
      <c r="T944" s="1571"/>
      <c r="U944" s="1568" t="s">
        <v>798</v>
      </c>
      <c r="V944" s="1379"/>
      <c r="W944" s="1379"/>
      <c r="X944" s="1379"/>
      <c r="Y944" s="1379"/>
      <c r="Z944" s="1380"/>
      <c r="AA944" s="1572"/>
      <c r="AB944" s="1474"/>
      <c r="AC944" s="1474"/>
      <c r="AD944" s="1474"/>
      <c r="AE944" s="1474"/>
      <c r="AF944" s="1573"/>
      <c r="AZ944" s="2"/>
      <c r="BA944" s="2"/>
      <c r="BB944" s="2"/>
      <c r="BC944" s="2"/>
    </row>
    <row r="945" spans="1:55" ht="13" customHeight="1">
      <c r="F945" s="1104" t="s">
        <v>1627</v>
      </c>
      <c r="G945" s="4"/>
      <c r="H945" s="4"/>
      <c r="I945" s="4"/>
      <c r="J945" s="4"/>
      <c r="K945" s="4"/>
      <c r="L945" s="4"/>
      <c r="M945" s="4"/>
      <c r="N945" s="4"/>
      <c r="O945" s="4"/>
      <c r="P945" s="1568" t="s">
        <v>694</v>
      </c>
      <c r="Q945" s="1379"/>
      <c r="R945" s="1379"/>
      <c r="S945" s="1379"/>
      <c r="T945" s="1380"/>
      <c r="U945" s="1568" t="s">
        <v>798</v>
      </c>
      <c r="V945" s="1379"/>
      <c r="W945" s="1379"/>
      <c r="X945" s="1379"/>
      <c r="Y945" s="1379"/>
      <c r="Z945" s="1380"/>
      <c r="AA945" s="1572"/>
      <c r="AB945" s="1474"/>
      <c r="AC945" s="1474"/>
      <c r="AD945" s="1474"/>
      <c r="AE945" s="1474"/>
      <c r="AF945" s="1573"/>
      <c r="AZ945" s="2"/>
      <c r="BA945" s="2"/>
      <c r="BB945" s="2"/>
      <c r="BC945" s="2"/>
    </row>
    <row r="946" spans="1:55" ht="13" customHeight="1">
      <c r="F946" s="1565" t="s">
        <v>1628</v>
      </c>
      <c r="G946" s="1566"/>
      <c r="H946" s="1567"/>
      <c r="I946" s="1582" t="s">
        <v>1343</v>
      </c>
      <c r="J946" s="1583"/>
      <c r="K946" s="1583"/>
      <c r="L946" s="1583"/>
      <c r="M946" s="1583"/>
      <c r="N946" s="1583"/>
      <c r="O946" s="1583"/>
      <c r="P946" s="1583"/>
      <c r="Q946" s="1583"/>
      <c r="R946" s="1583"/>
      <c r="S946" s="1583"/>
      <c r="T946" s="1584"/>
      <c r="U946" s="1568" t="s">
        <v>798</v>
      </c>
      <c r="V946" s="1379"/>
      <c r="W946" s="1379"/>
      <c r="X946" s="1379"/>
      <c r="Y946" s="1379"/>
      <c r="Z946" s="1380"/>
      <c r="AA946" s="1572"/>
      <c r="AB946" s="1474"/>
      <c r="AC946" s="1474"/>
      <c r="AD946" s="1474"/>
      <c r="AE946" s="1474"/>
      <c r="AF946" s="1573"/>
      <c r="AZ946" s="2"/>
      <c r="BA946" s="2"/>
      <c r="BB946" s="2"/>
      <c r="BC946" s="2"/>
    </row>
    <row r="947" spans="1:55" ht="13" customHeight="1">
      <c r="F947" s="1104" t="s">
        <v>1068</v>
      </c>
      <c r="G947" s="32"/>
      <c r="H947" s="32"/>
      <c r="I947" s="1582" t="s">
        <v>1343</v>
      </c>
      <c r="J947" s="1583"/>
      <c r="K947" s="1583"/>
      <c r="L947" s="1583"/>
      <c r="M947" s="1583"/>
      <c r="N947" s="1583"/>
      <c r="O947" s="1583"/>
      <c r="P947" s="1583"/>
      <c r="Q947" s="1583"/>
      <c r="R947" s="1583"/>
      <c r="S947" s="1583"/>
      <c r="T947" s="1584"/>
      <c r="U947" s="1568" t="s">
        <v>798</v>
      </c>
      <c r="V947" s="1379"/>
      <c r="W947" s="1379"/>
      <c r="X947" s="1379"/>
      <c r="Y947" s="1379"/>
      <c r="Z947" s="1380"/>
      <c r="AA947" s="1572"/>
      <c r="AB947" s="1474"/>
      <c r="AC947" s="1474"/>
      <c r="AD947" s="1474"/>
      <c r="AE947" s="1474"/>
      <c r="AF947" s="1573"/>
      <c r="AZ947" s="2"/>
      <c r="BA947" s="2"/>
      <c r="BB947" s="2"/>
      <c r="BC947" s="2"/>
    </row>
    <row r="948" spans="1:55" ht="13" customHeight="1">
      <c r="F948" s="1104" t="s">
        <v>1629</v>
      </c>
      <c r="G948" s="32"/>
      <c r="H948" s="32"/>
      <c r="I948" s="1582" t="s">
        <v>1343</v>
      </c>
      <c r="J948" s="1583"/>
      <c r="K948" s="1583"/>
      <c r="L948" s="1583"/>
      <c r="M948" s="1583"/>
      <c r="N948" s="1583"/>
      <c r="O948" s="1583"/>
      <c r="P948" s="1583"/>
      <c r="Q948" s="1583"/>
      <c r="R948" s="1583"/>
      <c r="S948" s="1583"/>
      <c r="T948" s="1584"/>
      <c r="U948" s="1568" t="s">
        <v>798</v>
      </c>
      <c r="V948" s="1379"/>
      <c r="W948" s="1379"/>
      <c r="X948" s="1379"/>
      <c r="Y948" s="1379"/>
      <c r="Z948" s="1380"/>
      <c r="AA948" s="1572"/>
      <c r="AB948" s="1474"/>
      <c r="AC948" s="1474"/>
      <c r="AD948" s="1474"/>
      <c r="AE948" s="1474"/>
      <c r="AF948" s="1573"/>
      <c r="AV948" s="1"/>
      <c r="AW948" s="1"/>
      <c r="AX948" s="1"/>
      <c r="AY948" s="1"/>
      <c r="AZ948" s="2"/>
      <c r="BA948" s="2"/>
      <c r="BB948" s="2"/>
      <c r="BC948" s="2"/>
    </row>
    <row r="949" spans="1:55" ht="13" customHeight="1">
      <c r="F949" s="31" t="s">
        <v>233</v>
      </c>
      <c r="G949" s="32"/>
      <c r="H949" s="32"/>
      <c r="I949" s="1582" t="s">
        <v>1343</v>
      </c>
      <c r="J949" s="1583"/>
      <c r="K949" s="1583"/>
      <c r="L949" s="1583"/>
      <c r="M949" s="1583"/>
      <c r="N949" s="1583"/>
      <c r="O949" s="1583"/>
      <c r="P949" s="1583"/>
      <c r="Q949" s="1583"/>
      <c r="R949" s="1583"/>
      <c r="S949" s="1583"/>
      <c r="T949" s="1584"/>
      <c r="U949" s="1568" t="s">
        <v>847</v>
      </c>
      <c r="V949" s="1379"/>
      <c r="W949" s="1379"/>
      <c r="X949" s="1379"/>
      <c r="Y949" s="1379"/>
      <c r="Z949" s="1380"/>
      <c r="AA949" s="1572"/>
      <c r="AB949" s="1474"/>
      <c r="AC949" s="1474"/>
      <c r="AD949" s="1474"/>
      <c r="AE949" s="1474"/>
      <c r="AF949" s="1573"/>
      <c r="AU949" s="1"/>
      <c r="AZ949" s="2"/>
      <c r="BA949" s="2"/>
      <c r="BB949" s="2"/>
      <c r="BC949" s="2"/>
    </row>
    <row r="950" spans="1:55" ht="13" customHeight="1">
      <c r="F950" s="31" t="s">
        <v>233</v>
      </c>
      <c r="G950" s="32"/>
      <c r="H950" s="32"/>
      <c r="I950" s="1582" t="s">
        <v>1343</v>
      </c>
      <c r="J950" s="1583"/>
      <c r="K950" s="1583"/>
      <c r="L950" s="1583"/>
      <c r="M950" s="1583"/>
      <c r="N950" s="1583"/>
      <c r="O950" s="1583"/>
      <c r="P950" s="1583"/>
      <c r="Q950" s="1583"/>
      <c r="R950" s="1583"/>
      <c r="S950" s="1583"/>
      <c r="T950" s="1584"/>
      <c r="U950" s="1568" t="s">
        <v>798</v>
      </c>
      <c r="V950" s="1379"/>
      <c r="W950" s="1379"/>
      <c r="X950" s="1379"/>
      <c r="Y950" s="1379"/>
      <c r="Z950" s="1380"/>
      <c r="AA950" s="1572"/>
      <c r="AB950" s="1474"/>
      <c r="AC950" s="1474"/>
      <c r="AD950" s="1474"/>
      <c r="AE950" s="1474"/>
      <c r="AF950" s="1573"/>
      <c r="AU950" s="1"/>
      <c r="AZ950" s="2"/>
      <c r="BA950" s="2"/>
      <c r="BB950" s="2"/>
      <c r="BC950" s="2"/>
    </row>
    <row r="951" spans="1:55" ht="13" customHeight="1">
      <c r="AU951" s="1"/>
      <c r="AZ951" s="2"/>
      <c r="BA951" s="2"/>
      <c r="BB951" s="2"/>
      <c r="BC951" s="2"/>
    </row>
    <row r="952" spans="1:55" ht="13" customHeight="1">
      <c r="A952" s="1" t="s">
        <v>913</v>
      </c>
      <c r="C952" s="1" t="s">
        <v>247</v>
      </c>
      <c r="AZ952" s="2"/>
      <c r="BA952" s="2"/>
      <c r="BB952" s="2"/>
      <c r="BC952" s="2"/>
    </row>
    <row r="953" spans="1:55" ht="13" customHeight="1">
      <c r="B953" s="1"/>
      <c r="C953" s="17" t="s">
        <v>1630</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3" customHeight="1">
      <c r="AZ954" s="2"/>
      <c r="BA954" s="2"/>
      <c r="BB954" s="2"/>
      <c r="BC954" s="2"/>
    </row>
    <row r="955" spans="1:55" ht="13" customHeight="1">
      <c r="C955" s="1106" t="s">
        <v>1631</v>
      </c>
      <c r="D955" s="4"/>
      <c r="E955" s="4"/>
      <c r="F955" s="4"/>
      <c r="G955" s="4"/>
      <c r="H955" s="4"/>
      <c r="I955" s="4"/>
      <c r="J955" s="4"/>
      <c r="K955" s="4"/>
      <c r="L955" s="1105"/>
      <c r="M955" s="1637">
        <v>45329</v>
      </c>
      <c r="N955" s="1470"/>
      <c r="O955" s="1470"/>
      <c r="P955" s="1470"/>
      <c r="Q955" s="1470"/>
      <c r="R955" s="1470"/>
      <c r="S955" s="1564"/>
      <c r="U955" s="1106" t="s">
        <v>1631</v>
      </c>
      <c r="V955" s="4"/>
      <c r="W955" s="4"/>
      <c r="X955" s="4"/>
      <c r="Y955" s="4"/>
      <c r="Z955" s="4"/>
      <c r="AA955" s="4"/>
      <c r="AB955" s="4"/>
      <c r="AC955" s="4"/>
      <c r="AD955" s="1105"/>
      <c r="AE955" s="1637"/>
      <c r="AF955" s="1470"/>
      <c r="AG955" s="1470"/>
      <c r="AH955" s="1470"/>
      <c r="AI955" s="1470"/>
      <c r="AJ955" s="1470"/>
      <c r="AK955" s="1564"/>
      <c r="AZ955" s="2"/>
      <c r="BA955" s="2"/>
      <c r="BB955" s="2"/>
      <c r="BC955" s="2"/>
    </row>
    <row r="956" spans="1:55" ht="13" customHeight="1">
      <c r="C956" s="1106" t="s">
        <v>1632</v>
      </c>
      <c r="D956" s="4"/>
      <c r="E956" s="4"/>
      <c r="F956" s="4"/>
      <c r="G956" s="4"/>
      <c r="H956" s="4"/>
      <c r="I956" s="4"/>
      <c r="J956" s="4"/>
      <c r="K956" s="4"/>
      <c r="L956" s="1105"/>
      <c r="M956" s="1600" t="s">
        <v>1633</v>
      </c>
      <c r="N956" s="1423"/>
      <c r="O956" s="1423"/>
      <c r="P956" s="1423"/>
      <c r="Q956" s="1423"/>
      <c r="R956" s="1423"/>
      <c r="S956" s="1601"/>
      <c r="U956" s="1106" t="s">
        <v>1632</v>
      </c>
      <c r="V956" s="4"/>
      <c r="W956" s="4"/>
      <c r="X956" s="4"/>
      <c r="Y956" s="4"/>
      <c r="Z956" s="4"/>
      <c r="AA956" s="4"/>
      <c r="AB956" s="4"/>
      <c r="AC956" s="4"/>
      <c r="AD956" s="1105"/>
      <c r="AE956" s="1600"/>
      <c r="AF956" s="1423"/>
      <c r="AG956" s="1423"/>
      <c r="AH956" s="1423"/>
      <c r="AI956" s="1423"/>
      <c r="AJ956" s="1423"/>
      <c r="AK956" s="1601"/>
      <c r="AZ956" s="2"/>
      <c r="BA956" s="2"/>
      <c r="BB956" s="2"/>
      <c r="BC956" s="2"/>
    </row>
    <row r="957" spans="1:55" ht="13" customHeight="1">
      <c r="C957" s="1106" t="s">
        <v>1634</v>
      </c>
      <c r="D957" s="4"/>
      <c r="E957" s="4"/>
      <c r="J957" s="1738" t="s">
        <v>1635</v>
      </c>
      <c r="K957" s="1739"/>
      <c r="L957" s="1739"/>
      <c r="M957" s="1739"/>
      <c r="N957" s="1739"/>
      <c r="O957" s="1739"/>
      <c r="P957" s="1739"/>
      <c r="Q957" s="1739"/>
      <c r="R957" s="1739"/>
      <c r="S957" s="1740"/>
      <c r="U957" s="1106" t="s">
        <v>1634</v>
      </c>
      <c r="V957" s="4"/>
      <c r="W957" s="4"/>
      <c r="AB957" s="1738" t="s">
        <v>547</v>
      </c>
      <c r="AC957" s="1739"/>
      <c r="AD957" s="1739"/>
      <c r="AE957" s="1739"/>
      <c r="AF957" s="1739"/>
      <c r="AG957" s="1739"/>
      <c r="AH957" s="1739"/>
      <c r="AI957" s="1739"/>
      <c r="AJ957" s="1739"/>
      <c r="AK957" s="1740"/>
      <c r="AZ957" s="2"/>
      <c r="BA957" s="2"/>
      <c r="BB957" s="2"/>
      <c r="BC957" s="2"/>
    </row>
    <row r="958" spans="1:55" ht="13" customHeight="1">
      <c r="C958" s="1106" t="s">
        <v>1636</v>
      </c>
      <c r="D958" s="4"/>
      <c r="E958" s="4"/>
      <c r="F958" s="4"/>
      <c r="G958" s="4"/>
      <c r="H958" s="4"/>
      <c r="I958" s="4"/>
      <c r="J958" s="4"/>
      <c r="K958" s="4"/>
      <c r="L958" s="1105"/>
      <c r="M958" s="1638">
        <v>0.47</v>
      </c>
      <c r="N958" s="1639"/>
      <c r="O958" s="1639"/>
      <c r="P958" s="1639"/>
      <c r="Q958" s="1639"/>
      <c r="R958" s="1639"/>
      <c r="S958" s="1640"/>
      <c r="U958" s="1106" t="s">
        <v>1636</v>
      </c>
      <c r="V958" s="4"/>
      <c r="W958" s="4"/>
      <c r="X958" s="4"/>
      <c r="Y958" s="4"/>
      <c r="Z958" s="4"/>
      <c r="AA958" s="4"/>
      <c r="AB958" s="4"/>
      <c r="AC958" s="4"/>
      <c r="AD958" s="1105"/>
      <c r="AE958" s="1712"/>
      <c r="AF958" s="1639"/>
      <c r="AG958" s="1639"/>
      <c r="AH958" s="1639"/>
      <c r="AI958" s="1639"/>
      <c r="AJ958" s="1639"/>
      <c r="AK958" s="1640"/>
      <c r="AZ958" s="2"/>
      <c r="BA958" s="2"/>
      <c r="BB958" s="2"/>
      <c r="BC958" s="2"/>
    </row>
    <row r="959" spans="1:55" ht="13" customHeight="1">
      <c r="C959" s="1106" t="s">
        <v>1637</v>
      </c>
      <c r="D959" s="4"/>
      <c r="E959" s="4"/>
      <c r="F959" s="4"/>
      <c r="G959" s="4"/>
      <c r="H959" s="4"/>
      <c r="I959" s="4"/>
      <c r="J959" s="4"/>
      <c r="K959" s="4"/>
      <c r="L959" s="1105"/>
      <c r="M959" s="1658">
        <v>25</v>
      </c>
      <c r="N959" s="1549"/>
      <c r="O959" s="1549"/>
      <c r="P959" s="1549"/>
      <c r="Q959" s="1549"/>
      <c r="R959" s="1549"/>
      <c r="S959" s="1550"/>
      <c r="U959" s="1106" t="s">
        <v>1637</v>
      </c>
      <c r="V959" s="4"/>
      <c r="W959" s="4"/>
      <c r="X959" s="4"/>
      <c r="Y959" s="4"/>
      <c r="Z959" s="4"/>
      <c r="AA959" s="4"/>
      <c r="AB959" s="4"/>
      <c r="AC959" s="4"/>
      <c r="AD959" s="1105"/>
      <c r="AE959" s="1658"/>
      <c r="AF959" s="1549"/>
      <c r="AG959" s="1549"/>
      <c r="AH959" s="1549"/>
      <c r="AI959" s="1549"/>
      <c r="AJ959" s="1549"/>
      <c r="AK959" s="1550"/>
      <c r="AV959" s="1"/>
      <c r="AW959" s="1"/>
      <c r="AX959" s="1"/>
      <c r="AY959" s="1"/>
      <c r="AZ959" s="2"/>
      <c r="BA959" s="2"/>
      <c r="BB959" s="2"/>
      <c r="BC959" s="2"/>
    </row>
    <row r="960" spans="1:55" ht="13" customHeight="1">
      <c r="C960" s="1106" t="s">
        <v>1638</v>
      </c>
      <c r="D960" s="4"/>
      <c r="E960" s="4"/>
      <c r="F960" s="4"/>
      <c r="G960" s="4"/>
      <c r="H960" s="4"/>
      <c r="I960" s="4"/>
      <c r="J960" s="4"/>
      <c r="K960" s="4"/>
      <c r="L960" s="1105"/>
      <c r="M960" s="1572">
        <v>698136</v>
      </c>
      <c r="N960" s="1474"/>
      <c r="O960" s="1474"/>
      <c r="P960" s="1474"/>
      <c r="Q960" s="1474"/>
      <c r="R960" s="1474"/>
      <c r="S960" s="1573"/>
      <c r="U960" s="1106" t="s">
        <v>1638</v>
      </c>
      <c r="V960" s="4"/>
      <c r="W960" s="4"/>
      <c r="X960" s="4"/>
      <c r="Y960" s="4"/>
      <c r="Z960" s="4"/>
      <c r="AA960" s="4"/>
      <c r="AB960" s="4"/>
      <c r="AC960" s="4"/>
      <c r="AD960" s="1105"/>
      <c r="AE960" s="1572"/>
      <c r="AF960" s="1474"/>
      <c r="AG960" s="1474"/>
      <c r="AH960" s="1474"/>
      <c r="AI960" s="1474"/>
      <c r="AJ960" s="1474"/>
      <c r="AK960" s="1573"/>
      <c r="AV960" s="1"/>
      <c r="AW960" s="1"/>
      <c r="AX960" s="1"/>
      <c r="AY960" s="1"/>
      <c r="AZ960" s="2"/>
      <c r="BA960" s="2"/>
      <c r="BB960" s="2"/>
      <c r="BC960" s="2"/>
    </row>
    <row r="961" spans="1:64" ht="13" customHeight="1">
      <c r="C961" s="1106" t="s">
        <v>1639</v>
      </c>
      <c r="D961" s="4"/>
      <c r="E961" s="4"/>
      <c r="F961" s="4"/>
      <c r="G961" s="4"/>
      <c r="H961" s="4"/>
      <c r="I961" s="4"/>
      <c r="J961" s="4"/>
      <c r="K961" s="4"/>
      <c r="L961" s="1105"/>
      <c r="M961" s="1572">
        <f>M960*M962</f>
        <v>10472040</v>
      </c>
      <c r="N961" s="1474"/>
      <c r="O961" s="1474"/>
      <c r="P961" s="1474"/>
      <c r="Q961" s="1474"/>
      <c r="R961" s="1474"/>
      <c r="S961" s="1573"/>
      <c r="U961" s="1106" t="s">
        <v>1639</v>
      </c>
      <c r="V961" s="4"/>
      <c r="W961" s="4"/>
      <c r="X961" s="4"/>
      <c r="Y961" s="4"/>
      <c r="Z961" s="4"/>
      <c r="AA961" s="4"/>
      <c r="AB961" s="4"/>
      <c r="AC961" s="4"/>
      <c r="AD961" s="1105"/>
      <c r="AE961" s="1572"/>
      <c r="AF961" s="1474"/>
      <c r="AG961" s="1474"/>
      <c r="AH961" s="1474"/>
      <c r="AI961" s="1474"/>
      <c r="AJ961" s="1474"/>
      <c r="AK961" s="1573"/>
      <c r="AV961" s="1"/>
      <c r="AW961" s="1"/>
      <c r="AX961" s="1"/>
      <c r="AY961" s="1"/>
      <c r="AZ961" s="2"/>
      <c r="BB961" s="2"/>
      <c r="BC961" s="2"/>
    </row>
    <row r="962" spans="1:64" ht="13" customHeight="1">
      <c r="C962" s="1106" t="s">
        <v>1248</v>
      </c>
      <c r="D962" s="4"/>
      <c r="E962" s="4"/>
      <c r="F962" s="4"/>
      <c r="G962" s="4"/>
      <c r="H962" s="4"/>
      <c r="I962" s="4"/>
      <c r="J962" s="4"/>
      <c r="K962" s="4"/>
      <c r="L962" s="1105"/>
      <c r="M962" s="1709">
        <v>15</v>
      </c>
      <c r="N962" s="1710"/>
      <c r="O962" s="1710"/>
      <c r="P962" s="1710"/>
      <c r="Q962" s="1710"/>
      <c r="R962" s="1710"/>
      <c r="S962" s="1711"/>
      <c r="U962" s="1106" t="s">
        <v>1248</v>
      </c>
      <c r="V962" s="4"/>
      <c r="W962" s="4"/>
      <c r="X962" s="4"/>
      <c r="Y962" s="4"/>
      <c r="Z962" s="4"/>
      <c r="AA962" s="4"/>
      <c r="AB962" s="4"/>
      <c r="AC962" s="4"/>
      <c r="AD962" s="1105"/>
      <c r="AE962" s="1709"/>
      <c r="AF962" s="1710"/>
      <c r="AG962" s="1710"/>
      <c r="AH962" s="1710"/>
      <c r="AI962" s="1710"/>
      <c r="AJ962" s="1710"/>
      <c r="AK962" s="1711"/>
      <c r="AZ962" s="2"/>
      <c r="BB962" s="2"/>
      <c r="BC962" s="2"/>
      <c r="BD962" s="2"/>
      <c r="BE962" s="2"/>
      <c r="BF962" s="2"/>
      <c r="BG962" s="2"/>
      <c r="BH962" s="2"/>
      <c r="BI962" s="2"/>
      <c r="BJ962" s="2"/>
      <c r="BK962" s="2"/>
      <c r="BL962" s="2"/>
    </row>
    <row r="963" spans="1:64" ht="13" customHeight="1">
      <c r="AZ963" s="2"/>
      <c r="BB963" s="2"/>
      <c r="BC963" s="2"/>
      <c r="BD963" s="2"/>
      <c r="BE963" s="2"/>
      <c r="BF963" s="2"/>
      <c r="BG963" s="2"/>
      <c r="BH963" s="2"/>
      <c r="BI963" s="2"/>
      <c r="BJ963" s="2"/>
      <c r="BK963" s="2"/>
      <c r="BL963" s="2"/>
    </row>
    <row r="964" spans="1:64" ht="13" customHeight="1">
      <c r="A964" s="1" t="s">
        <v>992</v>
      </c>
      <c r="C964" s="1" t="s">
        <v>1640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3" customHeight="1">
      <c r="A965"/>
      <c r="B965" s="1"/>
      <c r="C965" s="17" t="s">
        <v>1641</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3"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059"/>
      <c r="AV966"/>
      <c r="AW966"/>
      <c r="AX966"/>
      <c r="AY966"/>
      <c r="AZ966" s="2"/>
      <c r="BA966"/>
      <c r="BB966" s="2"/>
      <c r="BC966" s="2"/>
      <c r="BD966" s="2"/>
      <c r="BE966" s="2"/>
      <c r="BF966" s="2"/>
      <c r="BG966" s="2"/>
      <c r="BH966" s="2"/>
      <c r="BI966" s="2"/>
      <c r="BJ966" s="2"/>
      <c r="BK966" s="2"/>
      <c r="BL966" s="2"/>
    </row>
    <row r="967" spans="1:64" s="11" customFormat="1" ht="13" customHeight="1">
      <c r="A967"/>
      <c r="B967"/>
      <c r="C967"/>
      <c r="D967"/>
      <c r="E967"/>
      <c r="F967" s="1104" t="s">
        <v>1642</v>
      </c>
      <c r="G967" s="4"/>
      <c r="H967" s="4"/>
      <c r="I967" s="4"/>
      <c r="J967" s="4"/>
      <c r="K967" s="4"/>
      <c r="L967" s="1105"/>
      <c r="M967" s="1598"/>
      <c r="N967" s="1401"/>
      <c r="O967" s="1401"/>
      <c r="P967" s="1401"/>
      <c r="Q967" s="1401"/>
      <c r="R967" s="1401"/>
      <c r="S967" s="1599"/>
      <c r="T967" s="1106" t="s">
        <v>1643</v>
      </c>
      <c r="U967" s="4"/>
      <c r="V967" s="4"/>
      <c r="W967" s="4"/>
      <c r="X967" s="4"/>
      <c r="Y967" s="4"/>
      <c r="Z967" s="1105"/>
      <c r="AA967" s="1598"/>
      <c r="AB967" s="1401"/>
      <c r="AC967" s="1401"/>
      <c r="AD967" s="1401"/>
      <c r="AE967" s="1401"/>
      <c r="AF967" s="1401"/>
      <c r="AG967" s="1599"/>
      <c r="AH967"/>
      <c r="AI967"/>
      <c r="AJ967"/>
      <c r="AK967"/>
      <c r="AL967"/>
      <c r="AM967"/>
      <c r="AN967"/>
      <c r="AO967"/>
      <c r="AP967"/>
      <c r="AQ967"/>
      <c r="AR967"/>
      <c r="AS967"/>
      <c r="AT967"/>
      <c r="AU967" s="1059"/>
      <c r="AV967"/>
      <c r="AW967"/>
      <c r="AX967"/>
      <c r="AY967"/>
      <c r="AZ967" s="2"/>
      <c r="BA967"/>
      <c r="BB967" s="2"/>
      <c r="BC967" s="2"/>
      <c r="BD967" s="2"/>
      <c r="BE967" s="2"/>
      <c r="BF967" s="2"/>
      <c r="BG967" s="2"/>
      <c r="BH967" s="2"/>
      <c r="BI967" s="2"/>
      <c r="BJ967" s="2"/>
      <c r="BK967" s="2"/>
      <c r="BL967" s="2"/>
    </row>
    <row r="968" spans="1:64" s="11" customFormat="1" ht="13" customHeight="1">
      <c r="A968"/>
      <c r="B968"/>
      <c r="C968"/>
      <c r="D968"/>
      <c r="E968"/>
      <c r="F968" s="1104" t="s">
        <v>1644</v>
      </c>
      <c r="G968" s="4"/>
      <c r="H968" s="4"/>
      <c r="I968" s="4"/>
      <c r="J968" s="4"/>
      <c r="K968" s="4"/>
      <c r="L968" s="1105"/>
      <c r="M968" s="1598"/>
      <c r="N968" s="1401"/>
      <c r="O968" s="1401"/>
      <c r="P968" s="1401"/>
      <c r="Q968" s="1401"/>
      <c r="R968" s="1401"/>
      <c r="S968" s="1599"/>
      <c r="T968" s="1106" t="s">
        <v>1645</v>
      </c>
      <c r="U968" s="4"/>
      <c r="V968" s="4"/>
      <c r="W968" s="4"/>
      <c r="X968" s="4"/>
      <c r="Y968" s="4"/>
      <c r="Z968" s="1105"/>
      <c r="AA968" s="1598"/>
      <c r="AB968" s="1401"/>
      <c r="AC968" s="1401"/>
      <c r="AD968" s="1401"/>
      <c r="AE968" s="1401"/>
      <c r="AF968" s="1401"/>
      <c r="AG968" s="1599"/>
      <c r="AH968"/>
      <c r="AI968"/>
      <c r="AJ968"/>
      <c r="AK968"/>
      <c r="AL968"/>
      <c r="AM968"/>
      <c r="AN968"/>
      <c r="AO968"/>
      <c r="AP968"/>
      <c r="AQ968"/>
      <c r="AR968"/>
      <c r="AS968"/>
      <c r="AT968"/>
      <c r="AU968" s="1059"/>
      <c r="AV968"/>
      <c r="AW968"/>
      <c r="AX968"/>
      <c r="AY968"/>
      <c r="AZ968" s="2"/>
      <c r="BA968"/>
      <c r="BB968" s="2"/>
      <c r="BC968" s="2"/>
      <c r="BD968" s="2"/>
      <c r="BE968" s="2"/>
      <c r="BF968"/>
      <c r="BG968"/>
      <c r="BH968"/>
      <c r="BI968"/>
      <c r="BJ968" s="2"/>
      <c r="BK968" s="2"/>
      <c r="BL968" s="2"/>
    </row>
    <row r="969" spans="1:64" s="11" customFormat="1" ht="13" customHeight="1">
      <c r="A969"/>
      <c r="B969"/>
      <c r="C969"/>
      <c r="D969"/>
      <c r="E969"/>
      <c r="F969" s="1104" t="s">
        <v>1646</v>
      </c>
      <c r="G969" s="4"/>
      <c r="H969" s="4"/>
      <c r="I969" s="4"/>
      <c r="J969" s="4"/>
      <c r="K969" s="4"/>
      <c r="L969" s="1105"/>
      <c r="M969" s="1641" t="s">
        <v>798</v>
      </c>
      <c r="N969" s="1642"/>
      <c r="O969" s="1642"/>
      <c r="P969" s="1642"/>
      <c r="Q969" s="1642"/>
      <c r="R969" s="1642"/>
      <c r="S969" s="1643"/>
      <c r="T969" s="1104" t="s">
        <v>1647</v>
      </c>
      <c r="U969" s="4"/>
      <c r="V969" s="4"/>
      <c r="W969" s="4"/>
      <c r="X969" s="4"/>
      <c r="Y969" s="4"/>
      <c r="Z969" s="1105"/>
      <c r="AA969" s="1598"/>
      <c r="AB969" s="1401"/>
      <c r="AC969" s="1401"/>
      <c r="AD969" s="1401"/>
      <c r="AE969" s="1401"/>
      <c r="AF969" s="1401"/>
      <c r="AG969" s="1599"/>
      <c r="AH969"/>
      <c r="AI969"/>
      <c r="AJ969"/>
      <c r="AK969"/>
      <c r="AL969"/>
      <c r="AM969"/>
      <c r="AN969"/>
      <c r="AO969"/>
      <c r="AP969"/>
      <c r="AQ969"/>
      <c r="AR969"/>
      <c r="AS969"/>
      <c r="AT969"/>
      <c r="AU969" s="1059"/>
      <c r="AV969"/>
      <c r="AW969"/>
      <c r="AX969"/>
      <c r="AY969"/>
      <c r="AZ969" s="2"/>
      <c r="BA969"/>
      <c r="BB969" s="2"/>
      <c r="BC969" s="2"/>
      <c r="BD969" s="2"/>
      <c r="BE969" s="2"/>
      <c r="BF969"/>
      <c r="BG969"/>
      <c r="BH969"/>
      <c r="BI969"/>
      <c r="BJ969" s="2"/>
      <c r="BK969" s="2"/>
      <c r="BL969" s="2"/>
    </row>
    <row r="970" spans="1:64" s="11" customFormat="1" ht="13" customHeight="1">
      <c r="A970"/>
      <c r="B970"/>
      <c r="C970"/>
      <c r="D970"/>
      <c r="E970"/>
      <c r="F970" s="1104" t="s">
        <v>1648</v>
      </c>
      <c r="G970" s="4"/>
      <c r="H970" s="4"/>
      <c r="I970" s="4"/>
      <c r="J970" s="4"/>
      <c r="K970" s="4"/>
      <c r="L970" s="1105"/>
      <c r="M970" s="1598"/>
      <c r="N970" s="1401"/>
      <c r="O970" s="1401"/>
      <c r="P970" s="1401"/>
      <c r="Q970" s="1401"/>
      <c r="R970" s="1401"/>
      <c r="S970" s="1599"/>
      <c r="T970" s="1104" t="s">
        <v>1649</v>
      </c>
      <c r="U970" s="4"/>
      <c r="V970" s="4"/>
      <c r="W970" s="4"/>
      <c r="X970" s="4"/>
      <c r="Y970" s="4"/>
      <c r="Z970" s="1105"/>
      <c r="AA970" s="1598"/>
      <c r="AB970" s="1401"/>
      <c r="AC970" s="1401"/>
      <c r="AD970" s="1401"/>
      <c r="AE970" s="1401"/>
      <c r="AF970" s="1401"/>
      <c r="AG970" s="1599"/>
      <c r="AH970"/>
      <c r="AI970"/>
      <c r="AJ970"/>
      <c r="AK970"/>
      <c r="AL970"/>
      <c r="AM970"/>
      <c r="AN970"/>
      <c r="AO970"/>
      <c r="AP970"/>
      <c r="AQ970"/>
      <c r="AR970"/>
      <c r="AS970"/>
      <c r="AT970"/>
      <c r="AU970" s="1059"/>
      <c r="AV970"/>
      <c r="AW970"/>
      <c r="AX970"/>
      <c r="AY970"/>
      <c r="AZ970" s="2"/>
      <c r="BA970"/>
      <c r="BB970" s="2"/>
      <c r="BC970" s="2"/>
      <c r="BD970" s="2"/>
      <c r="BE970" s="2"/>
      <c r="BF970"/>
      <c r="BG970"/>
      <c r="BH970"/>
      <c r="BI970"/>
      <c r="BJ970" s="2"/>
      <c r="BK970" s="2"/>
      <c r="BL970" s="2"/>
    </row>
    <row r="971" spans="1:64" s="11" customFormat="1" ht="13" customHeight="1">
      <c r="A971"/>
      <c r="B971"/>
      <c r="C971"/>
      <c r="D971"/>
      <c r="E971"/>
      <c r="F971" s="1104" t="s">
        <v>1650</v>
      </c>
      <c r="G971" s="4"/>
      <c r="H971" s="4"/>
      <c r="I971" s="4"/>
      <c r="J971" s="4"/>
      <c r="K971" s="4"/>
      <c r="L971" s="1105"/>
      <c r="M971" s="1598"/>
      <c r="N971" s="1401"/>
      <c r="O971" s="1401"/>
      <c r="P971" s="1401"/>
      <c r="Q971" s="1401"/>
      <c r="R971" s="1401"/>
      <c r="S971" s="1599"/>
      <c r="T971" s="1104" t="s">
        <v>1651</v>
      </c>
      <c r="U971" s="4"/>
      <c r="V971" s="4"/>
      <c r="W971" s="4"/>
      <c r="X971" s="4"/>
      <c r="Y971" s="4"/>
      <c r="Z971" s="1105"/>
      <c r="AA971" s="1598"/>
      <c r="AB971" s="1401"/>
      <c r="AC971" s="1401"/>
      <c r="AD971" s="1401"/>
      <c r="AE971" s="1401"/>
      <c r="AF971" s="1401"/>
      <c r="AG971" s="1599"/>
      <c r="AH971"/>
      <c r="AI971"/>
      <c r="AJ971"/>
      <c r="AK971"/>
      <c r="AL971"/>
      <c r="AM971"/>
      <c r="AN971"/>
      <c r="AO971"/>
      <c r="AP971"/>
      <c r="AQ971"/>
      <c r="AR971"/>
      <c r="AS971"/>
      <c r="AT971"/>
      <c r="AU971" s="1059"/>
      <c r="AV971"/>
      <c r="AW971"/>
      <c r="AX971"/>
      <c r="AY971"/>
      <c r="AZ971" s="2"/>
      <c r="BA971"/>
      <c r="BB971" s="2"/>
      <c r="BC971" s="2"/>
      <c r="BD971" s="2"/>
      <c r="BE971" s="2"/>
      <c r="BF971"/>
      <c r="BG971"/>
      <c r="BH971"/>
      <c r="BI971"/>
      <c r="BJ971" s="2"/>
      <c r="BK971" s="2"/>
      <c r="BL971" s="2"/>
    </row>
    <row r="972" spans="1:64" s="11" customFormat="1" ht="13" customHeight="1">
      <c r="A972"/>
      <c r="B972"/>
      <c r="C972"/>
      <c r="D972"/>
      <c r="E972"/>
      <c r="F972" s="1060" t="s">
        <v>1634</v>
      </c>
      <c r="G972" s="30"/>
      <c r="H972" s="30"/>
      <c r="I972" s="30"/>
      <c r="J972" s="30"/>
      <c r="K972" s="30"/>
      <c r="L972" s="39"/>
      <c r="M972" s="1738" t="s">
        <v>547</v>
      </c>
      <c r="N972" s="1739"/>
      <c r="O972" s="1739"/>
      <c r="P972" s="1739"/>
      <c r="Q972" s="1739"/>
      <c r="R972" s="1739"/>
      <c r="S972" s="1740"/>
      <c r="T972" s="1696"/>
      <c r="U972" s="1697"/>
      <c r="V972" s="1697"/>
      <c r="W972" s="1697"/>
      <c r="X972" s="1697"/>
      <c r="Y972" s="1697"/>
      <c r="Z972" s="1698"/>
      <c r="AA972" s="1598"/>
      <c r="AB972" s="1401"/>
      <c r="AC972" s="1401"/>
      <c r="AD972" s="1401"/>
      <c r="AE972" s="1401"/>
      <c r="AF972" s="1401"/>
      <c r="AG972" s="1599"/>
      <c r="AH972"/>
      <c r="AI972"/>
      <c r="AJ972"/>
      <c r="AK972"/>
      <c r="AL972"/>
      <c r="AM972"/>
      <c r="AN972"/>
      <c r="AO972"/>
      <c r="AP972"/>
      <c r="AQ972"/>
      <c r="AR972"/>
      <c r="AS972"/>
      <c r="AT972"/>
      <c r="AU972" s="1059"/>
      <c r="AV972"/>
      <c r="AW972"/>
      <c r="AX972"/>
      <c r="AY972"/>
      <c r="AZ972" s="2"/>
      <c r="BA972" s="2"/>
      <c r="BB972" s="2"/>
      <c r="BC972" s="2"/>
      <c r="BD972" s="2"/>
      <c r="BE972" s="2"/>
      <c r="BF972" s="2"/>
      <c r="BG972" s="2"/>
      <c r="BH972" s="2"/>
      <c r="BI972" s="2"/>
      <c r="BJ972" s="2"/>
      <c r="BK972" s="2"/>
      <c r="BL972" s="2"/>
    </row>
    <row r="973" spans="1:64" s="11" customFormat="1" ht="13" customHeight="1">
      <c r="A973"/>
      <c r="B973"/>
      <c r="C973"/>
      <c r="D973"/>
      <c r="E973"/>
      <c r="F973" s="29" t="s">
        <v>1652</v>
      </c>
      <c r="G973" s="30"/>
      <c r="H973" s="30"/>
      <c r="I973" s="30"/>
      <c r="J973" s="30"/>
      <c r="K973" s="30"/>
      <c r="L973" s="39"/>
      <c r="M973" s="1598"/>
      <c r="N973" s="1401"/>
      <c r="O973" s="1401"/>
      <c r="P973" s="1401"/>
      <c r="Q973" s="1401"/>
      <c r="R973" s="1401"/>
      <c r="S973" s="1599"/>
      <c r="T973" s="1696"/>
      <c r="U973" s="1697"/>
      <c r="V973" s="1697"/>
      <c r="W973" s="1697"/>
      <c r="X973" s="1697"/>
      <c r="Y973" s="1697"/>
      <c r="Z973" s="1698"/>
      <c r="AA973" s="1598"/>
      <c r="AB973" s="1401"/>
      <c r="AC973" s="1401"/>
      <c r="AD973" s="1401"/>
      <c r="AE973" s="1401"/>
      <c r="AF973" s="1401"/>
      <c r="AG973" s="1599"/>
      <c r="AH973"/>
      <c r="AI973"/>
      <c r="AJ973"/>
      <c r="AK973"/>
      <c r="AL973"/>
      <c r="AM973"/>
      <c r="AN973"/>
      <c r="AO973"/>
      <c r="AP973"/>
      <c r="AQ973"/>
      <c r="AR973"/>
      <c r="AS973"/>
      <c r="AT973"/>
      <c r="AU973" s="1059"/>
      <c r="AV973"/>
      <c r="AW973"/>
      <c r="AX973"/>
      <c r="AY973"/>
      <c r="AZ973" s="2"/>
      <c r="BA973" s="2"/>
      <c r="BB973" s="2"/>
      <c r="BC973" s="2"/>
      <c r="BD973" s="2"/>
      <c r="BE973" s="2"/>
      <c r="BF973" s="2"/>
      <c r="BG973" s="2"/>
      <c r="BH973" s="2"/>
      <c r="BI973" s="2"/>
      <c r="BJ973" s="2"/>
      <c r="BK973" s="2"/>
      <c r="BL973" s="2"/>
    </row>
    <row r="974" spans="1:64" ht="13" customHeight="1">
      <c r="F974" s="29" t="s">
        <v>1653</v>
      </c>
      <c r="G974" s="30"/>
      <c r="H974" s="30"/>
      <c r="I974" s="30"/>
      <c r="J974" s="30"/>
      <c r="K974" s="30"/>
      <c r="L974" s="30"/>
      <c r="M974" s="30"/>
      <c r="N974" s="30"/>
      <c r="O974" s="1325" t="s">
        <v>694</v>
      </c>
      <c r="P974" s="1327"/>
      <c r="Q974" s="52"/>
      <c r="R974" s="52"/>
      <c r="S974" s="53"/>
      <c r="T974" s="29" t="s">
        <v>233</v>
      </c>
      <c r="U974" s="30"/>
      <c r="V974" s="30"/>
      <c r="W974" s="1741" t="s">
        <v>1343</v>
      </c>
      <c r="X974" s="1742"/>
      <c r="Y974" s="1742"/>
      <c r="Z974" s="1742"/>
      <c r="AA974" s="1742"/>
      <c r="AB974" s="1742"/>
      <c r="AC974" s="1742"/>
      <c r="AD974" s="1742"/>
      <c r="AE974" s="1742"/>
      <c r="AF974" s="1742"/>
      <c r="AG974" s="1743"/>
      <c r="AU974" s="1059"/>
      <c r="AV974" s="54"/>
      <c r="AW974" s="54"/>
      <c r="AX974" s="54"/>
      <c r="AY974" s="54"/>
      <c r="AZ974" s="2"/>
      <c r="BB974" s="2"/>
      <c r="BC974" s="2"/>
      <c r="BD974" s="2"/>
      <c r="BE974" s="2"/>
      <c r="BF974" s="2"/>
      <c r="BG974" s="2"/>
      <c r="BH974" s="2"/>
      <c r="BI974" s="2"/>
      <c r="BJ974" s="2"/>
      <c r="BK974" s="2"/>
      <c r="BL974" s="2"/>
    </row>
    <row r="975" spans="1:64" ht="13" customHeight="1">
      <c r="F975" s="1544" t="s">
        <v>1654</v>
      </c>
      <c r="G975" s="1435"/>
      <c r="H975" s="1435"/>
      <c r="I975" s="1435"/>
      <c r="J975" s="1435"/>
      <c r="K975" s="1435"/>
      <c r="L975" s="1435"/>
      <c r="M975" s="1598"/>
      <c r="N975" s="1401"/>
      <c r="O975" s="1401"/>
      <c r="P975" s="1401"/>
      <c r="Q975" s="1401"/>
      <c r="R975" s="1401"/>
      <c r="S975" s="1599"/>
      <c r="T975" s="31"/>
      <c r="U975" s="32"/>
      <c r="V975" s="32"/>
      <c r="W975" s="32"/>
      <c r="X975" s="32"/>
      <c r="Y975" s="32"/>
      <c r="Z975" s="72" t="s">
        <v>1655</v>
      </c>
      <c r="AA975" s="1693"/>
      <c r="AB975" s="1694"/>
      <c r="AC975" s="1694"/>
      <c r="AD975" s="1694"/>
      <c r="AE975" s="1694"/>
      <c r="AF975" s="1694"/>
      <c r="AG975" s="1695"/>
      <c r="AU975" s="1059"/>
      <c r="AV975" s="54"/>
      <c r="AW975" s="54"/>
      <c r="AX975" s="54"/>
      <c r="AY975" s="54"/>
      <c r="AZ975" s="11"/>
      <c r="BA975" s="11"/>
      <c r="BB975" s="2"/>
      <c r="BC975" s="2"/>
      <c r="BD975" s="2"/>
      <c r="BE975" s="2"/>
      <c r="BF975" s="2"/>
      <c r="BG975" s="11"/>
      <c r="BH975" s="11"/>
      <c r="BI975" s="11"/>
      <c r="BJ975" s="11"/>
      <c r="BK975" s="11"/>
      <c r="BL975" s="11"/>
    </row>
    <row r="976" spans="1:64" ht="13" customHeight="1">
      <c r="AU976" s="1059"/>
      <c r="AV976" s="1059"/>
      <c r="AW976" s="1059"/>
      <c r="AX976" s="1059"/>
      <c r="AY976" s="1059"/>
      <c r="AZ976" s="11"/>
      <c r="BA976" s="11"/>
      <c r="BB976" s="11"/>
      <c r="BC976" s="11"/>
      <c r="BD976" s="11"/>
      <c r="BE976" s="11"/>
      <c r="BF976" s="11"/>
      <c r="BG976" s="1574"/>
      <c r="BH976" s="1574"/>
      <c r="BI976" s="1574"/>
      <c r="BJ976" s="1574"/>
      <c r="BK976" s="1574"/>
      <c r="BL976" s="1574"/>
    </row>
    <row r="977" spans="1:64" ht="13" customHeight="1">
      <c r="AU977" s="1059"/>
      <c r="AV977" s="1059"/>
      <c r="AW977" s="1059"/>
      <c r="AX977" s="1059"/>
      <c r="AY977" s="1059"/>
      <c r="AZ977" s="11"/>
      <c r="BA977" s="11"/>
      <c r="BB977" s="718"/>
      <c r="BC977" s="718"/>
      <c r="BD977" s="11"/>
      <c r="BE977" s="11"/>
      <c r="BF977" s="11"/>
      <c r="BG977" s="11"/>
      <c r="BH977" s="11"/>
      <c r="BI977" s="11"/>
      <c r="BJ977" s="11"/>
      <c r="BK977" s="11"/>
      <c r="BL977" s="11"/>
    </row>
    <row r="978" spans="1:64" ht="13" customHeight="1">
      <c r="AU978" s="1059"/>
      <c r="AV978" s="1059"/>
      <c r="AW978" s="1059"/>
      <c r="AX978" s="1059"/>
      <c r="AY978" s="1059"/>
      <c r="AZ978" s="11"/>
      <c r="BA978" s="11"/>
      <c r="BB978" s="718"/>
      <c r="BC978" s="718"/>
    </row>
    <row r="979" spans="1:64" ht="13" customHeight="1">
      <c r="A979" s="1482" t="s">
        <v>1656</v>
      </c>
      <c r="B979" s="1482"/>
      <c r="C979" s="1482"/>
      <c r="D979" s="1482"/>
      <c r="E979" s="1482"/>
      <c r="F979" s="1482"/>
      <c r="G979" s="1482"/>
      <c r="H979" s="1482"/>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2"/>
      <c r="AF979" s="1482"/>
      <c r="AG979" s="1482"/>
      <c r="AH979" s="1482"/>
      <c r="AI979" s="1482"/>
      <c r="AJ979" s="1482"/>
      <c r="AK979" s="1482"/>
      <c r="AL979" s="1482"/>
      <c r="AM979" s="1482"/>
      <c r="AN979" s="1482"/>
      <c r="AO979" s="1482"/>
      <c r="AP979" s="1482"/>
      <c r="AQ979" s="1482"/>
      <c r="AR979" s="1482"/>
      <c r="AS979" s="1482"/>
      <c r="AT979" s="1482"/>
      <c r="AU979" s="1059"/>
      <c r="AV979" s="1059"/>
      <c r="AW979" s="1059"/>
      <c r="AX979" s="1059"/>
      <c r="AY979" s="1059"/>
      <c r="AZ979" s="11"/>
      <c r="BA979" s="11"/>
      <c r="BB979" s="718"/>
      <c r="BC979" s="718"/>
    </row>
    <row r="980" spans="1:64" ht="13" customHeight="1">
      <c r="A980" s="1482"/>
      <c r="B980" s="1482"/>
      <c r="C980" s="1482"/>
      <c r="D980" s="1482"/>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2"/>
      <c r="AF980" s="1482"/>
      <c r="AG980" s="1482"/>
      <c r="AH980" s="1482"/>
      <c r="AI980" s="1482"/>
      <c r="AJ980" s="1482"/>
      <c r="AK980" s="1482"/>
      <c r="AL980" s="1482"/>
      <c r="AM980" s="1482"/>
      <c r="AN980" s="1482"/>
      <c r="AO980" s="1482"/>
      <c r="AP980" s="1482"/>
      <c r="AQ980" s="1482"/>
      <c r="AR980" s="1482"/>
      <c r="AS980" s="1482"/>
      <c r="AT980" s="1482"/>
      <c r="AU980" s="1059"/>
      <c r="AV980" s="1059"/>
      <c r="AW980" s="1059"/>
      <c r="AX980" s="1059"/>
      <c r="AY980" s="1059"/>
      <c r="AZ980" s="23"/>
      <c r="BA980" s="11"/>
      <c r="BB980" s="11"/>
      <c r="BC980" s="11"/>
    </row>
    <row r="981" spans="1:64" ht="13" customHeight="1">
      <c r="A981" s="1482"/>
      <c r="B981" s="1482"/>
      <c r="C981" s="1482"/>
      <c r="D981" s="1482"/>
      <c r="E981" s="1482"/>
      <c r="F981" s="1482"/>
      <c r="G981" s="1482"/>
      <c r="H981" s="1482"/>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2"/>
      <c r="AF981" s="1482"/>
      <c r="AG981" s="1482"/>
      <c r="AH981" s="1482"/>
      <c r="AI981" s="1482"/>
      <c r="AJ981" s="1482"/>
      <c r="AK981" s="1482"/>
      <c r="AL981" s="1482"/>
      <c r="AM981" s="1482"/>
      <c r="AN981" s="1482"/>
      <c r="AO981" s="1482"/>
      <c r="AP981" s="1482"/>
      <c r="AQ981" s="1482"/>
      <c r="AR981" s="1482"/>
      <c r="AS981" s="1482"/>
      <c r="AT981" s="1482"/>
      <c r="AU981" s="1059"/>
      <c r="AV981" s="1059"/>
      <c r="AW981" s="1059"/>
      <c r="AX981" s="1059"/>
      <c r="AY981" s="1059"/>
      <c r="AZ981" s="23"/>
      <c r="BA981" s="11"/>
      <c r="BB981" s="11"/>
      <c r="BC981" s="11"/>
    </row>
    <row r="982" spans="1:64" ht="13"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059"/>
      <c r="AM982" s="1059"/>
      <c r="AN982" s="1059"/>
      <c r="AO982" s="1059"/>
      <c r="AP982" s="1059"/>
      <c r="AQ982" s="1059"/>
      <c r="AR982" s="1059"/>
      <c r="AS982" s="1059"/>
      <c r="AT982" s="1059"/>
      <c r="AU982" s="1059"/>
      <c r="AV982" s="1059"/>
      <c r="AW982" s="1059"/>
      <c r="AX982" s="1059"/>
      <c r="AY982" s="1059"/>
      <c r="AZ982" s="11"/>
      <c r="BA982" s="11"/>
      <c r="BB982" s="11"/>
      <c r="BC982" s="11"/>
    </row>
    <row r="983" spans="1:64" ht="13" customHeight="1">
      <c r="A983" s="1" t="s">
        <v>872</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059"/>
      <c r="AM983" s="1059"/>
      <c r="AN983" s="1059"/>
      <c r="AO983" s="1059"/>
      <c r="AP983" s="1059"/>
      <c r="AQ983" s="1059"/>
      <c r="AR983" s="1059"/>
      <c r="AS983" s="1059"/>
      <c r="AT983" s="1059"/>
      <c r="AU983" s="1059"/>
      <c r="AV983" s="1059"/>
      <c r="AW983" s="1059"/>
      <c r="AX983" s="1059"/>
      <c r="AY983" s="1059"/>
      <c r="AZ983" s="11"/>
      <c r="BA983" s="11"/>
      <c r="BB983" s="11"/>
      <c r="BC983" s="11"/>
    </row>
    <row r="984" spans="1:64" ht="13"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059"/>
      <c r="AM984" s="1059"/>
      <c r="AN984" s="1059"/>
      <c r="AO984" s="1059"/>
      <c r="AP984" s="1059"/>
      <c r="AQ984" s="1059"/>
      <c r="AR984" s="1059"/>
      <c r="AS984" s="1059"/>
      <c r="AT984" s="1059"/>
      <c r="AU984" s="1059"/>
      <c r="AV984" s="1059"/>
      <c r="AW984" s="1059"/>
      <c r="AX984" s="1059"/>
      <c r="AY984" s="1059"/>
      <c r="AZ984" s="11"/>
      <c r="BA984" s="11"/>
      <c r="BB984" s="11"/>
      <c r="BC984" s="11"/>
    </row>
    <row r="985" spans="1:64" ht="13" customHeight="1">
      <c r="A985" s="11"/>
      <c r="B985" s="47"/>
      <c r="C985" s="1061"/>
      <c r="D985" s="1722" t="s">
        <v>1657</v>
      </c>
      <c r="E985" s="1723"/>
      <c r="F985" s="1723"/>
      <c r="G985" s="1723"/>
      <c r="H985" s="1723"/>
      <c r="I985" s="1723"/>
      <c r="J985" s="1723"/>
      <c r="K985" s="1723"/>
      <c r="L985" s="1723"/>
      <c r="M985" s="1723"/>
      <c r="N985" s="1723"/>
      <c r="O985" s="1723"/>
      <c r="P985" s="1723"/>
      <c r="Q985" s="1724"/>
      <c r="R985" s="1722" t="s">
        <v>1658</v>
      </c>
      <c r="S985" s="1723"/>
      <c r="T985" s="1723"/>
      <c r="U985" s="1723"/>
      <c r="V985" s="1723"/>
      <c r="W985" s="1723"/>
      <c r="X985" s="1723"/>
      <c r="Y985" s="1723"/>
      <c r="Z985" s="1723"/>
      <c r="AA985" s="1724"/>
      <c r="AB985" s="1722" t="s">
        <v>1659</v>
      </c>
      <c r="AC985" s="1723"/>
      <c r="AD985" s="1723"/>
      <c r="AE985" s="1723"/>
      <c r="AF985" s="1723"/>
      <c r="AG985" s="1723"/>
      <c r="AH985" s="1723"/>
      <c r="AI985" s="1724"/>
      <c r="AJ985" s="1722" t="s">
        <v>1660</v>
      </c>
      <c r="AK985" s="1723"/>
      <c r="AL985" s="1723"/>
      <c r="AM985" s="1723"/>
      <c r="AN985" s="1723"/>
      <c r="AO985" s="1723"/>
      <c r="AP985" s="1723"/>
      <c r="AQ985" s="1724"/>
      <c r="AR985" s="1059"/>
      <c r="AS985" s="1059"/>
      <c r="AT985" s="1059"/>
      <c r="AU985" s="1059"/>
      <c r="AV985" s="1059"/>
      <c r="AW985" s="1059"/>
      <c r="AX985" s="1059"/>
      <c r="AY985" s="1059"/>
      <c r="AZ985" s="23"/>
      <c r="BB985" s="11"/>
      <c r="BC985" s="11"/>
    </row>
    <row r="986" spans="1:64" ht="13" customHeight="1">
      <c r="A986" s="11"/>
      <c r="B986" s="44"/>
      <c r="C986" s="733"/>
      <c r="D986" s="1728" t="s">
        <v>837</v>
      </c>
      <c r="E986" s="1729"/>
      <c r="F986" s="1729"/>
      <c r="G986" s="1729"/>
      <c r="H986" s="1729"/>
      <c r="I986" s="1729"/>
      <c r="J986" s="1729"/>
      <c r="K986" s="1729"/>
      <c r="L986" s="1729"/>
      <c r="M986" s="1729"/>
      <c r="N986" s="1729"/>
      <c r="O986" s="1729"/>
      <c r="P986" s="1729"/>
      <c r="Q986" s="1730"/>
      <c r="R986" s="1717">
        <f>IF(ISNA(IF($CU$122="4%",(INDEX($CS$160:$CW$217,MATCH($DG$122,$CR$160:$CR$217,0),MATCH(D986,$CS$159:$CW$159,0))),(INDEX($CZ$160:$DD$217,MATCH($DG$122,$CY$160:$CY$217,0),MATCH(D986,$CZ$159:$DD$159,0))))),0,IF($CU$122="4%",(INDEX($CS$160:$CW$217,MATCH($DG$122,$CR$160:$CR$217,0),MATCH(D986,$CS$159:$CW$159,0))),(INDEX($CZ$160:$DD$217,MATCH($DG$122,$CY$160:$CY$217,0),MATCH(D986,$CZ$159:$DD$159,0)))))</f>
        <v>352022</v>
      </c>
      <c r="S986" s="1717"/>
      <c r="T986" s="1717"/>
      <c r="U986" s="1717"/>
      <c r="V986" s="1717"/>
      <c r="W986" s="1717"/>
      <c r="X986" s="1717"/>
      <c r="Y986" s="1717"/>
      <c r="Z986" s="1717"/>
      <c r="AA986" s="1717"/>
      <c r="AB986" s="1714">
        <f>CP802</f>
        <v>0</v>
      </c>
      <c r="AC986" s="1715"/>
      <c r="AD986" s="1715"/>
      <c r="AE986" s="1715"/>
      <c r="AF986" s="1715"/>
      <c r="AG986" s="1715"/>
      <c r="AH986" s="1715"/>
      <c r="AI986" s="1716"/>
      <c r="AJ986" s="1650">
        <f>IF(ISERROR((R986*AB986)),0,(R986*AB986))</f>
        <v>0</v>
      </c>
      <c r="AK986" s="1651"/>
      <c r="AL986" s="1651"/>
      <c r="AM986" s="1651"/>
      <c r="AN986" s="1651"/>
      <c r="AO986" s="1651"/>
      <c r="AP986" s="1651"/>
      <c r="AQ986" s="1652"/>
      <c r="AR986" s="1059"/>
      <c r="AS986" s="1059"/>
      <c r="AT986" s="1059"/>
      <c r="AU986" s="1059"/>
      <c r="AV986" s="1059"/>
      <c r="AW986" s="1059"/>
      <c r="AX986" s="1059"/>
      <c r="AY986" s="1059"/>
      <c r="AZ986" s="23"/>
      <c r="BB986" s="11"/>
      <c r="BC986" s="11"/>
    </row>
    <row r="987" spans="1:64" ht="13" customHeight="1">
      <c r="A987" s="11"/>
      <c r="B987" s="44"/>
      <c r="C987" s="48"/>
      <c r="D987" s="1728" t="s">
        <v>832</v>
      </c>
      <c r="E987" s="1729"/>
      <c r="F987" s="1729"/>
      <c r="G987" s="1729"/>
      <c r="H987" s="1729"/>
      <c r="I987" s="1729"/>
      <c r="J987" s="1729"/>
      <c r="K987" s="1729"/>
      <c r="L987" s="1729"/>
      <c r="M987" s="1729"/>
      <c r="N987" s="1729"/>
      <c r="O987" s="1729"/>
      <c r="P987" s="1729"/>
      <c r="Q987" s="1730"/>
      <c r="R987" s="1717">
        <f>IF(ISNA(IF($CU$122="4%",(INDEX($CS$160:$CW$217,MATCH($DG$122,$CR$160:$CR$217,0),MATCH(D987,$CS$159:$CW$159,0))),(INDEX($CZ$160:$DD$217,MATCH($DG$122,$CY$160:$CY$217,0),MATCH(D987,$CZ$159:$DD$159,0))))),0,IF($CU$122="4%",(INDEX($CS$160:$CW$217,MATCH($DG$122,$CR$160:$CR$217,0),MATCH(D987,$CS$159:$CW$159,0))),(INDEX($CZ$160:$DD$217,MATCH($DG$122,$CY$160:$CY$217,0),MATCH(D987,$CZ$159:$DD$159,0)))))</f>
        <v>405878</v>
      </c>
      <c r="S987" s="1717"/>
      <c r="T987" s="1717"/>
      <c r="U987" s="1717"/>
      <c r="V987" s="1717"/>
      <c r="W987" s="1717"/>
      <c r="X987" s="1717"/>
      <c r="Y987" s="1717"/>
      <c r="Z987" s="1717"/>
      <c r="AA987" s="1717"/>
      <c r="AB987" s="1714">
        <f>CU802</f>
        <v>6</v>
      </c>
      <c r="AC987" s="1715"/>
      <c r="AD987" s="1715"/>
      <c r="AE987" s="1715"/>
      <c r="AF987" s="1715"/>
      <c r="AG987" s="1715"/>
      <c r="AH987" s="1715"/>
      <c r="AI987" s="1716"/>
      <c r="AJ987" s="1650">
        <f>IF(ISERROR((R987*AB987)),0,(R987*AB987))</f>
        <v>2435268</v>
      </c>
      <c r="AK987" s="1651"/>
      <c r="AL987" s="1651"/>
      <c r="AM987" s="1651"/>
      <c r="AN987" s="1651"/>
      <c r="AO987" s="1651"/>
      <c r="AP987" s="1651"/>
      <c r="AQ987" s="1652"/>
      <c r="AR987" s="1059"/>
      <c r="AS987" s="1059"/>
      <c r="AT987" s="1059"/>
      <c r="AU987" s="1059"/>
      <c r="AV987" s="1059"/>
      <c r="AW987" s="1059"/>
      <c r="AX987" s="1059"/>
      <c r="AY987" s="1059"/>
      <c r="AZ987" s="23"/>
      <c r="BB987" s="11"/>
      <c r="BC987" s="11"/>
    </row>
    <row r="988" spans="1:64" ht="13" customHeight="1">
      <c r="A988" s="11"/>
      <c r="B988" s="44"/>
      <c r="C988" s="48"/>
      <c r="D988" s="1728" t="s">
        <v>833</v>
      </c>
      <c r="E988" s="1729"/>
      <c r="F988" s="1729"/>
      <c r="G988" s="1729"/>
      <c r="H988" s="1729"/>
      <c r="I988" s="1729"/>
      <c r="J988" s="1729"/>
      <c r="K988" s="1729"/>
      <c r="L988" s="1729"/>
      <c r="M988" s="1729"/>
      <c r="N988" s="1729"/>
      <c r="O988" s="1729"/>
      <c r="P988" s="1729"/>
      <c r="Q988" s="1730"/>
      <c r="R988" s="1717">
        <f>IF(ISNA(IF($CU$122="4%",(INDEX($CS$160:$CW$217,MATCH($DG$122,$CR$160:$CR$217,0),MATCH(D988,$CS$159:$CW$159,0))),(INDEX($CZ$160:$DD$217,MATCH($DG$122,$CY$160:$CY$217,0),MATCH(D988,$CZ$159:$DD$159,0))))),0,IF($CU$122="4%",(INDEX($CS$160:$CW$217,MATCH($DG$122,$CR$160:$CR$217,0),MATCH(D988,$CS$159:$CW$159,0))),(INDEX($CZ$160:$DD$217,MATCH($DG$122,$CY$160:$CY$217,0),MATCH(D988,$CZ$159:$DD$159,0)))))</f>
        <v>489600</v>
      </c>
      <c r="S988" s="1717"/>
      <c r="T988" s="1717"/>
      <c r="U988" s="1717"/>
      <c r="V988" s="1717"/>
      <c r="W988" s="1717"/>
      <c r="X988" s="1717"/>
      <c r="Y988" s="1717"/>
      <c r="Z988" s="1717"/>
      <c r="AA988" s="1717"/>
      <c r="AB988" s="1714">
        <f>CZ802</f>
        <v>24</v>
      </c>
      <c r="AC988" s="1715"/>
      <c r="AD988" s="1715"/>
      <c r="AE988" s="1715"/>
      <c r="AF988" s="1715"/>
      <c r="AG988" s="1715"/>
      <c r="AH988" s="1715"/>
      <c r="AI988" s="1716"/>
      <c r="AJ988" s="1650">
        <f>IF(ISERROR((R988*AB988)),0,(R988*AB988))</f>
        <v>11750400</v>
      </c>
      <c r="AK988" s="1651"/>
      <c r="AL988" s="1651"/>
      <c r="AM988" s="1651"/>
      <c r="AN988" s="1651"/>
      <c r="AO988" s="1651"/>
      <c r="AP988" s="1651"/>
      <c r="AQ988" s="1652"/>
      <c r="AR988" s="1059"/>
      <c r="AS988" s="1059"/>
      <c r="AT988" s="1059"/>
      <c r="AU988" s="1059"/>
      <c r="AV988" s="1059"/>
      <c r="AW988" s="1059"/>
      <c r="AX988" s="1059"/>
      <c r="AY988" s="1059"/>
      <c r="AZ988" s="23"/>
      <c r="BB988" s="11"/>
      <c r="BC988" s="11"/>
    </row>
    <row r="989" spans="1:64" ht="13" customHeight="1">
      <c r="A989" s="11"/>
      <c r="B989" s="44"/>
      <c r="C989" s="48"/>
      <c r="D989" s="1728" t="s">
        <v>834</v>
      </c>
      <c r="E989" s="1729"/>
      <c r="F989" s="1729"/>
      <c r="G989" s="1729"/>
      <c r="H989" s="1729"/>
      <c r="I989" s="1729"/>
      <c r="J989" s="1729"/>
      <c r="K989" s="1729"/>
      <c r="L989" s="1729"/>
      <c r="M989" s="1729"/>
      <c r="N989" s="1729"/>
      <c r="O989" s="1729"/>
      <c r="P989" s="1729"/>
      <c r="Q989" s="1730"/>
      <c r="R989" s="1717">
        <f>IF(ISNA(IF($CU$122="4%",(INDEX($CS$160:$CW$217,MATCH($DG$122,$CR$160:$CR$217,0),MATCH(D989,$CS$159:$CW$159,0))),(INDEX($CZ$160:$DD$217,MATCH($DG$122,$CY$160:$CY$217,0),MATCH(D989,$CZ$159:$DD$159,0))))),0,IF($CU$122="4%",(INDEX($CS$160:$CW$217,MATCH($DG$122,$CR$160:$CR$217,0),MATCH(D989,$CS$159:$CW$159,0))),(INDEX($CZ$160:$DD$217,MATCH($DG$122,$CY$160:$CY$217,0),MATCH(D989,$CZ$159:$DD$159,0)))))</f>
        <v>626688</v>
      </c>
      <c r="S989" s="1717"/>
      <c r="T989" s="1717"/>
      <c r="U989" s="1717"/>
      <c r="V989" s="1717"/>
      <c r="W989" s="1717"/>
      <c r="X989" s="1717"/>
      <c r="Y989" s="1717"/>
      <c r="Z989" s="1717"/>
      <c r="AA989" s="1717"/>
      <c r="AB989" s="1714">
        <f>DE802</f>
        <v>23</v>
      </c>
      <c r="AC989" s="1715"/>
      <c r="AD989" s="1715"/>
      <c r="AE989" s="1715"/>
      <c r="AF989" s="1715"/>
      <c r="AG989" s="1715"/>
      <c r="AH989" s="1715"/>
      <c r="AI989" s="1716"/>
      <c r="AJ989" s="1650">
        <f>IF(ISERROR((R989*AB989)),0,(R989*AB989))</f>
        <v>14413824</v>
      </c>
      <c r="AK989" s="1651"/>
      <c r="AL989" s="1651"/>
      <c r="AM989" s="1651"/>
      <c r="AN989" s="1651"/>
      <c r="AO989" s="1651"/>
      <c r="AP989" s="1651"/>
      <c r="AQ989" s="1652"/>
      <c r="AR989" s="1059"/>
      <c r="AS989" s="1059"/>
      <c r="AT989" s="1059"/>
      <c r="AU989" s="1059"/>
      <c r="AV989" s="1059"/>
      <c r="AW989" s="1059"/>
      <c r="AX989" s="1059"/>
      <c r="AY989" s="1059"/>
      <c r="AZ989" s="23"/>
      <c r="BA989" s="2"/>
      <c r="BB989" s="11"/>
      <c r="BC989" s="11"/>
    </row>
    <row r="990" spans="1:64" ht="13" customHeight="1">
      <c r="A990" s="11"/>
      <c r="B990" s="31"/>
      <c r="C990" s="46"/>
      <c r="D990" s="1728" t="s">
        <v>838</v>
      </c>
      <c r="E990" s="1729"/>
      <c r="F990" s="1729"/>
      <c r="G990" s="1729"/>
      <c r="H990" s="1729"/>
      <c r="I990" s="1729"/>
      <c r="J990" s="1729"/>
      <c r="K990" s="1729"/>
      <c r="L990" s="1729"/>
      <c r="M990" s="1729"/>
      <c r="N990" s="1729"/>
      <c r="O990" s="1729"/>
      <c r="P990" s="1729"/>
      <c r="Q990" s="1730"/>
      <c r="R990" s="1717">
        <f>IF(ISNA(IF($CU$122="4%",(INDEX($CS$160:$CW$217,MATCH($DG$122,$CR$160:$CR$217,0),MATCH(D990,$CS$159:$CW$159,0))),(INDEX($CZ$160:$DD$217,MATCH($DG$122,$CY$160:$CY$217,0),MATCH(D990,$CZ$159:$DD$159,0))))),0,IF($CU$122="4%",(INDEX($CS$160:$CW$217,MATCH($DG$122,$CR$160:$CR$217,0),MATCH(D990,$CS$159:$CW$159,0))),(INDEX($CZ$160:$DD$217,MATCH($DG$122,$CY$160:$CY$217,0),MATCH(D990,$CZ$159:$DD$159,0)))))</f>
        <v>698170</v>
      </c>
      <c r="S990" s="1717"/>
      <c r="T990" s="1717"/>
      <c r="U990" s="1717"/>
      <c r="V990" s="1717"/>
      <c r="W990" s="1717"/>
      <c r="X990" s="1717"/>
      <c r="Y990" s="1717"/>
      <c r="Z990" s="1717"/>
      <c r="AA990" s="1717"/>
      <c r="AB990" s="1714">
        <f>DO802+DJ802</f>
        <v>0</v>
      </c>
      <c r="AC990" s="1715"/>
      <c r="AD990" s="1715"/>
      <c r="AE990" s="1715"/>
      <c r="AF990" s="1715"/>
      <c r="AG990" s="1715"/>
      <c r="AH990" s="1715"/>
      <c r="AI990" s="1716"/>
      <c r="AJ990" s="1650">
        <f>IF(ISERROR((R990*AB990)),0,(R990*AB990))</f>
        <v>0</v>
      </c>
      <c r="AK990" s="1651"/>
      <c r="AL990" s="1651"/>
      <c r="AM990" s="1651"/>
      <c r="AN990" s="1651"/>
      <c r="AO990" s="1651"/>
      <c r="AP990" s="1651"/>
      <c r="AQ990" s="1652"/>
      <c r="AR990" s="1059"/>
      <c r="AS990" s="1059"/>
      <c r="AT990" s="1059"/>
      <c r="AU990" s="1059"/>
      <c r="AV990" s="1059"/>
      <c r="AW990" s="1059"/>
      <c r="AX990" s="1059"/>
      <c r="AY990" s="1059"/>
      <c r="AZ990" s="23"/>
      <c r="BB990" s="11"/>
      <c r="BC990" s="11"/>
    </row>
    <row r="991" spans="1:64" ht="13" customHeight="1">
      <c r="A991" s="11"/>
      <c r="B991" s="1671" t="s">
        <v>1661</v>
      </c>
      <c r="C991" s="1672"/>
      <c r="D991" s="1672"/>
      <c r="E991" s="1672"/>
      <c r="F991" s="1672"/>
      <c r="G991" s="1672"/>
      <c r="H991" s="1672"/>
      <c r="I991" s="1672"/>
      <c r="J991" s="1672"/>
      <c r="K991" s="1672"/>
      <c r="L991" s="1672"/>
      <c r="M991" s="1672"/>
      <c r="N991" s="1672"/>
      <c r="O991" s="1672"/>
      <c r="P991" s="1672"/>
      <c r="Q991" s="1672"/>
      <c r="R991" s="1672"/>
      <c r="S991" s="1672"/>
      <c r="T991" s="1672"/>
      <c r="U991" s="1672"/>
      <c r="V991" s="1672"/>
      <c r="W991" s="1672"/>
      <c r="X991" s="1672"/>
      <c r="Y991" s="1672"/>
      <c r="Z991" s="1672"/>
      <c r="AA991" s="1673"/>
      <c r="AB991" s="1714">
        <f>SUM(AB986:AI990)</f>
        <v>53</v>
      </c>
      <c r="AC991" s="1715"/>
      <c r="AD991" s="1715"/>
      <c r="AE991" s="1715"/>
      <c r="AF991" s="1715"/>
      <c r="AG991" s="1715"/>
      <c r="AH991" s="1715"/>
      <c r="AI991" s="1716"/>
      <c r="AJ991" s="1650"/>
      <c r="AK991" s="1651"/>
      <c r="AL991" s="1651"/>
      <c r="AM991" s="1651"/>
      <c r="AN991" s="1651"/>
      <c r="AO991" s="1651"/>
      <c r="AP991" s="1651"/>
      <c r="AQ991" s="1652"/>
      <c r="AR991" s="1059"/>
      <c r="AS991" s="1059"/>
      <c r="AT991" s="1059"/>
      <c r="AU991" s="1059"/>
      <c r="AV991" s="1059"/>
      <c r="AW991" s="1059"/>
      <c r="AX991" s="1059"/>
      <c r="AY991" s="1059"/>
      <c r="AZ991" s="2"/>
      <c r="BA991" s="2"/>
      <c r="BB991" s="11"/>
      <c r="BC991" s="11"/>
    </row>
    <row r="992" spans="1:64" ht="13" customHeight="1">
      <c r="A992" s="11"/>
      <c r="B992" s="1725" t="s">
        <v>1662</v>
      </c>
      <c r="C992" s="1726"/>
      <c r="D992" s="1726"/>
      <c r="E992" s="1726"/>
      <c r="F992" s="1726"/>
      <c r="G992" s="1726"/>
      <c r="H992" s="1726"/>
      <c r="I992" s="1726"/>
      <c r="J992" s="1726"/>
      <c r="K992" s="1726"/>
      <c r="L992" s="1726"/>
      <c r="M992" s="1726"/>
      <c r="N992" s="1726"/>
      <c r="O992" s="1726"/>
      <c r="P992" s="1726"/>
      <c r="Q992" s="1726"/>
      <c r="R992" s="1726"/>
      <c r="S992" s="1726"/>
      <c r="T992" s="1726"/>
      <c r="U992" s="1726"/>
      <c r="V992" s="1726"/>
      <c r="W992" s="1726"/>
      <c r="X992" s="1726"/>
      <c r="Y992" s="1726"/>
      <c r="Z992" s="1726"/>
      <c r="AA992" s="1726"/>
      <c r="AB992" s="1726"/>
      <c r="AC992" s="1726"/>
      <c r="AD992" s="1726"/>
      <c r="AE992" s="1726"/>
      <c r="AF992" s="1726"/>
      <c r="AG992" s="1726"/>
      <c r="AH992" s="1726"/>
      <c r="AI992" s="1727"/>
      <c r="AJ992" s="1650">
        <f>SUM(AJ986:AQ990)</f>
        <v>28599492</v>
      </c>
      <c r="AK992" s="1651"/>
      <c r="AL992" s="1651"/>
      <c r="AM992" s="1651"/>
      <c r="AN992" s="1651"/>
      <c r="AO992" s="1651"/>
      <c r="AP992" s="1651"/>
      <c r="AQ992" s="1652"/>
      <c r="AR992" s="1059"/>
      <c r="AS992" s="1059"/>
      <c r="AT992" s="1059"/>
      <c r="AU992" s="1059"/>
      <c r="AV992" s="1059"/>
      <c r="AW992" s="1059"/>
      <c r="AX992" s="1059"/>
      <c r="AY992" s="1059"/>
      <c r="AZ992" s="2"/>
      <c r="BB992" s="2"/>
      <c r="BC992" s="2"/>
    </row>
    <row r="993" spans="1:55" ht="13" customHeight="1">
      <c r="A993" s="11"/>
      <c r="B993" s="1680"/>
      <c r="C993" s="1681"/>
      <c r="D993" s="1681"/>
      <c r="E993" s="1681"/>
      <c r="F993" s="1681"/>
      <c r="G993" s="1681"/>
      <c r="H993" s="1681"/>
      <c r="I993" s="1681"/>
      <c r="J993" s="1681"/>
      <c r="K993" s="1681"/>
      <c r="L993" s="1681"/>
      <c r="M993" s="1681"/>
      <c r="N993" s="1681"/>
      <c r="O993" s="1681"/>
      <c r="P993" s="1681"/>
      <c r="Q993" s="1681"/>
      <c r="R993" s="1681"/>
      <c r="S993" s="1681"/>
      <c r="T993" s="1681"/>
      <c r="U993" s="1681"/>
      <c r="V993" s="1681"/>
      <c r="W993" s="1681"/>
      <c r="X993" s="1681"/>
      <c r="Y993" s="1681"/>
      <c r="Z993" s="1681"/>
      <c r="AA993" s="1681"/>
      <c r="AB993" s="1681"/>
      <c r="AC993" s="1681"/>
      <c r="AD993" s="1681"/>
      <c r="AE993" s="1682"/>
      <c r="AF993" s="1756" t="s">
        <v>1663</v>
      </c>
      <c r="AG993" s="1757"/>
      <c r="AH993" s="1757"/>
      <c r="AI993" s="1758"/>
      <c r="AJ993" s="1680"/>
      <c r="AK993" s="1681"/>
      <c r="AL993" s="1681"/>
      <c r="AM993" s="1681"/>
      <c r="AN993" s="1681"/>
      <c r="AO993" s="1681"/>
      <c r="AP993" s="1681"/>
      <c r="AQ993" s="1682"/>
      <c r="AR993" s="1059"/>
      <c r="AS993" s="1059"/>
      <c r="AT993" s="1059"/>
      <c r="AU993" s="1059"/>
      <c r="AV993" s="1059"/>
      <c r="AW993" s="1059"/>
      <c r="AX993" s="1059"/>
      <c r="AY993" s="1059"/>
      <c r="AZ993" s="2"/>
      <c r="BA993" s="2"/>
      <c r="BB993" s="2"/>
      <c r="BC993" s="2"/>
    </row>
    <row r="994" spans="1:55" ht="13" customHeight="1">
      <c r="A994" s="11"/>
      <c r="B994" s="44"/>
      <c r="C994" s="1062" t="s">
        <v>1664</v>
      </c>
      <c r="D994" s="1668" t="s">
        <v>1665</v>
      </c>
      <c r="E994" s="1669"/>
      <c r="F994" s="1669"/>
      <c r="G994" s="1669"/>
      <c r="H994" s="1669"/>
      <c r="I994" s="1669"/>
      <c r="J994" s="1669"/>
      <c r="K994" s="1669"/>
      <c r="L994" s="1669"/>
      <c r="M994" s="1669"/>
      <c r="N994" s="1669"/>
      <c r="O994" s="1669"/>
      <c r="P994" s="1669"/>
      <c r="Q994" s="1669"/>
      <c r="R994" s="1669"/>
      <c r="S994" s="1669"/>
      <c r="T994" s="1669"/>
      <c r="U994" s="1669"/>
      <c r="V994" s="1669"/>
      <c r="W994" s="1669"/>
      <c r="X994" s="1669"/>
      <c r="Y994" s="1669"/>
      <c r="Z994" s="1669"/>
      <c r="AA994" s="1669"/>
      <c r="AB994" s="1669"/>
      <c r="AC994" s="1669"/>
      <c r="AD994" s="1669"/>
      <c r="AE994" s="1670"/>
      <c r="AF994" s="47"/>
      <c r="AG994" s="1759" t="s">
        <v>847</v>
      </c>
      <c r="AH994" s="1760"/>
      <c r="AI994" s="50"/>
      <c r="AJ994" s="1659">
        <f>ROUND(IF(AND(AG994="yes",D1000&gt;0),AJ992*0.2,0),0)</f>
        <v>5719898</v>
      </c>
      <c r="AK994" s="1660"/>
      <c r="AL994" s="1660"/>
      <c r="AM994" s="1660"/>
      <c r="AN994" s="1660"/>
      <c r="AO994" s="1660"/>
      <c r="AP994" s="1660"/>
      <c r="AQ994" s="1661"/>
      <c r="AR994" s="1059"/>
      <c r="AS994" s="1059"/>
      <c r="AT994" s="1059"/>
      <c r="AU994" s="1059"/>
      <c r="AV994" s="1059"/>
      <c r="AW994" s="1059"/>
      <c r="AX994" s="1059"/>
      <c r="AY994" s="1059"/>
      <c r="AZ994" s="2"/>
      <c r="BA994" s="2"/>
      <c r="BB994" s="2"/>
      <c r="BC994" s="2"/>
    </row>
    <row r="995" spans="1:55" ht="13" customHeight="1">
      <c r="A995" s="11"/>
      <c r="B995" s="1063"/>
      <c r="C995" s="1064"/>
      <c r="D995" s="1702" t="s">
        <v>1666</v>
      </c>
      <c r="E995" s="1703"/>
      <c r="F995" s="1703"/>
      <c r="G995" s="1703"/>
      <c r="H995" s="1703"/>
      <c r="I995" s="1703"/>
      <c r="J995" s="1703"/>
      <c r="K995" s="1703"/>
      <c r="L995" s="1703"/>
      <c r="M995" s="1703"/>
      <c r="N995" s="1703"/>
      <c r="O995" s="1703"/>
      <c r="P995" s="1703"/>
      <c r="Q995" s="1703"/>
      <c r="R995" s="1703"/>
      <c r="S995" s="1703"/>
      <c r="T995" s="1703"/>
      <c r="U995" s="1703"/>
      <c r="V995" s="1703"/>
      <c r="W995" s="1703"/>
      <c r="X995" s="1703"/>
      <c r="Y995" s="1703"/>
      <c r="Z995" s="1703"/>
      <c r="AA995" s="1703"/>
      <c r="AB995" s="1703"/>
      <c r="AC995" s="1703"/>
      <c r="AD995" s="1703"/>
      <c r="AE995" s="1704"/>
      <c r="AF995" s="44"/>
      <c r="AG995" s="11"/>
      <c r="AH995" s="11"/>
      <c r="AI995" s="48"/>
      <c r="AJ995" s="1662"/>
      <c r="AK995" s="1663"/>
      <c r="AL995" s="1663"/>
      <c r="AM995" s="1663"/>
      <c r="AN995" s="1663"/>
      <c r="AO995" s="1663"/>
      <c r="AP995" s="1663"/>
      <c r="AQ995" s="1664"/>
      <c r="AR995" s="1059"/>
      <c r="AS995" s="1059"/>
      <c r="AT995" s="1059"/>
      <c r="AU995" s="1059"/>
      <c r="AV995" s="1059"/>
      <c r="AW995" s="1059"/>
      <c r="AX995" s="1059"/>
      <c r="AY995" s="1059"/>
      <c r="AZ995" s="2"/>
      <c r="BA995" s="2"/>
      <c r="BB995" s="2"/>
      <c r="BC995" s="2"/>
    </row>
    <row r="996" spans="1:55" ht="13" customHeight="1">
      <c r="A996" s="11"/>
      <c r="B996" s="1063"/>
      <c r="C996" s="1064"/>
      <c r="D996" s="1702"/>
      <c r="E996" s="1703"/>
      <c r="F996" s="1703"/>
      <c r="G996" s="1703"/>
      <c r="H996" s="1703"/>
      <c r="I996" s="1703"/>
      <c r="J996" s="1703"/>
      <c r="K996" s="1703"/>
      <c r="L996" s="1703"/>
      <c r="M996" s="1703"/>
      <c r="N996" s="1703"/>
      <c r="O996" s="1703"/>
      <c r="P996" s="1703"/>
      <c r="Q996" s="1703"/>
      <c r="R996" s="1703"/>
      <c r="S996" s="1703"/>
      <c r="T996" s="1703"/>
      <c r="U996" s="1703"/>
      <c r="V996" s="1703"/>
      <c r="W996" s="1703"/>
      <c r="X996" s="1703"/>
      <c r="Y996" s="1703"/>
      <c r="Z996" s="1703"/>
      <c r="AA996" s="1703"/>
      <c r="AB996" s="1703"/>
      <c r="AC996" s="1703"/>
      <c r="AD996" s="1703"/>
      <c r="AE996" s="1704"/>
      <c r="AF996" s="44"/>
      <c r="AG996" s="11"/>
      <c r="AH996" s="11"/>
      <c r="AI996" s="48"/>
      <c r="AJ996" s="1662"/>
      <c r="AK996" s="1663"/>
      <c r="AL996" s="1663"/>
      <c r="AM996" s="1663"/>
      <c r="AN996" s="1663"/>
      <c r="AO996" s="1663"/>
      <c r="AP996" s="1663"/>
      <c r="AQ996" s="1664"/>
      <c r="AR996" s="1059"/>
      <c r="AS996" s="1059"/>
      <c r="AT996" s="1059"/>
      <c r="AU996" s="1059"/>
      <c r="AV996" s="1059"/>
      <c r="AW996" s="1059"/>
      <c r="AX996" s="1059"/>
      <c r="AY996" s="1059"/>
      <c r="AZ996" s="2"/>
      <c r="BA996" s="2"/>
      <c r="BB996" s="2"/>
      <c r="BC996" s="2"/>
    </row>
    <row r="997" spans="1:55" ht="13" customHeight="1">
      <c r="A997" s="11"/>
      <c r="B997" s="1063"/>
      <c r="C997" s="1064"/>
      <c r="D997" s="1702"/>
      <c r="E997" s="1703"/>
      <c r="F997" s="1703"/>
      <c r="G997" s="1703"/>
      <c r="H997" s="1703"/>
      <c r="I997" s="1703"/>
      <c r="J997" s="1703"/>
      <c r="K997" s="1703"/>
      <c r="L997" s="1703"/>
      <c r="M997" s="1703"/>
      <c r="N997" s="1703"/>
      <c r="O997" s="1703"/>
      <c r="P997" s="1703"/>
      <c r="Q997" s="1703"/>
      <c r="R997" s="1703"/>
      <c r="S997" s="1703"/>
      <c r="T997" s="1703"/>
      <c r="U997" s="1703"/>
      <c r="V997" s="1703"/>
      <c r="W997" s="1703"/>
      <c r="X997" s="1703"/>
      <c r="Y997" s="1703"/>
      <c r="Z997" s="1703"/>
      <c r="AA997" s="1703"/>
      <c r="AB997" s="1703"/>
      <c r="AC997" s="1703"/>
      <c r="AD997" s="1703"/>
      <c r="AE997" s="1704"/>
      <c r="AF997" s="44"/>
      <c r="AG997" s="11"/>
      <c r="AH997" s="11"/>
      <c r="AI997" s="48"/>
      <c r="AJ997" s="1662"/>
      <c r="AK997" s="1663"/>
      <c r="AL997" s="1663"/>
      <c r="AM997" s="1663"/>
      <c r="AN997" s="1663"/>
      <c r="AO997" s="1663"/>
      <c r="AP997" s="1663"/>
      <c r="AQ997" s="1664"/>
      <c r="AR997" s="1059"/>
      <c r="AS997" s="1059"/>
      <c r="AT997" s="1059"/>
      <c r="AU997" s="1059"/>
      <c r="AV997" s="1059"/>
      <c r="AW997" s="1059"/>
      <c r="AX997" s="1059"/>
      <c r="AY997" s="1059"/>
      <c r="AZ997" s="2"/>
      <c r="BA997" s="2"/>
      <c r="BB997" s="2"/>
      <c r="BC997" s="2"/>
    </row>
    <row r="998" spans="1:55" ht="13" customHeight="1">
      <c r="A998" s="11"/>
      <c r="B998" s="1063"/>
      <c r="C998" s="1064"/>
      <c r="D998" s="1702"/>
      <c r="E998" s="1703"/>
      <c r="F998" s="1703"/>
      <c r="G998" s="1703"/>
      <c r="H998" s="1703"/>
      <c r="I998" s="1703"/>
      <c r="J998" s="1703"/>
      <c r="K998" s="1703"/>
      <c r="L998" s="1703"/>
      <c r="M998" s="1703"/>
      <c r="N998" s="1703"/>
      <c r="O998" s="1703"/>
      <c r="P998" s="1703"/>
      <c r="Q998" s="1703"/>
      <c r="R998" s="1703"/>
      <c r="S998" s="1703"/>
      <c r="T998" s="1703"/>
      <c r="U998" s="1703"/>
      <c r="V998" s="1703"/>
      <c r="W998" s="1703"/>
      <c r="X998" s="1703"/>
      <c r="Y998" s="1703"/>
      <c r="Z998" s="1703"/>
      <c r="AA998" s="1703"/>
      <c r="AB998" s="1703"/>
      <c r="AC998" s="1703"/>
      <c r="AD998" s="1703"/>
      <c r="AE998" s="1704"/>
      <c r="AF998" s="44"/>
      <c r="AG998" s="11"/>
      <c r="AH998" s="11"/>
      <c r="AI998" s="48"/>
      <c r="AJ998" s="1662"/>
      <c r="AK998" s="1663"/>
      <c r="AL998" s="1663"/>
      <c r="AM998" s="1663"/>
      <c r="AN998" s="1663"/>
      <c r="AO998" s="1663"/>
      <c r="AP998" s="1663"/>
      <c r="AQ998" s="1664"/>
      <c r="AR998" s="1059"/>
      <c r="AS998" s="1059"/>
      <c r="AT998" s="1059"/>
      <c r="AU998" s="1059"/>
      <c r="AV998" s="1059"/>
      <c r="AW998" s="1059"/>
      <c r="AX998" s="1059"/>
      <c r="AY998" s="1059"/>
      <c r="AZ998" s="2"/>
      <c r="BA998" s="2"/>
      <c r="BB998" s="2"/>
      <c r="BC998" s="2"/>
    </row>
    <row r="999" spans="1:55" ht="13" customHeight="1">
      <c r="A999" s="11"/>
      <c r="B999" s="1063"/>
      <c r="C999" s="1064"/>
      <c r="D999" s="1705" t="s">
        <v>1667</v>
      </c>
      <c r="E999" s="1706"/>
      <c r="F999" s="1706"/>
      <c r="G999" s="1706"/>
      <c r="H999" s="1706"/>
      <c r="I999" s="1706"/>
      <c r="J999" s="1706"/>
      <c r="K999" s="1706"/>
      <c r="L999" s="1706"/>
      <c r="M999" s="1706"/>
      <c r="N999" s="1706"/>
      <c r="O999" s="1706"/>
      <c r="P999" s="1706"/>
      <c r="Q999" s="1706"/>
      <c r="R999" s="1706"/>
      <c r="S999" s="1706"/>
      <c r="T999" s="1706"/>
      <c r="U999" s="1706"/>
      <c r="V999" s="1706"/>
      <c r="W999" s="1706"/>
      <c r="X999" s="1706"/>
      <c r="Y999" s="1706"/>
      <c r="Z999" s="1706"/>
      <c r="AA999" s="1706"/>
      <c r="AB999" s="1706"/>
      <c r="AC999" s="1706"/>
      <c r="AD999" s="1706"/>
      <c r="AE999" s="1707"/>
      <c r="AF999" s="44"/>
      <c r="AG999" s="11"/>
      <c r="AH999" s="11"/>
      <c r="AI999" s="48"/>
      <c r="AJ999" s="1662"/>
      <c r="AK999" s="1663"/>
      <c r="AL999" s="1663"/>
      <c r="AM999" s="1663"/>
      <c r="AN999" s="1663"/>
      <c r="AO999" s="1663"/>
      <c r="AP999" s="1663"/>
      <c r="AQ999" s="1664"/>
      <c r="AR999" s="1059"/>
      <c r="AS999" s="1059"/>
      <c r="AT999" s="1059"/>
      <c r="AU999" s="1059"/>
      <c r="AV999" s="1059"/>
      <c r="AW999" s="1059"/>
      <c r="AX999" s="1059"/>
      <c r="AY999" s="1059"/>
      <c r="AZ999" s="2"/>
      <c r="BA999" s="2"/>
      <c r="BB999" s="2"/>
      <c r="BC999" s="2"/>
    </row>
    <row r="1000" spans="1:55" ht="13" customHeight="1">
      <c r="A1000" s="11"/>
      <c r="B1000" s="1063"/>
      <c r="C1000" s="1064"/>
      <c r="D1000" s="1674" t="s">
        <v>1668</v>
      </c>
      <c r="E1000" s="1675"/>
      <c r="F1000" s="1675"/>
      <c r="G1000" s="1675"/>
      <c r="H1000" s="1675"/>
      <c r="I1000" s="1675"/>
      <c r="J1000" s="1675"/>
      <c r="K1000" s="1675"/>
      <c r="L1000" s="1675"/>
      <c r="M1000" s="1675"/>
      <c r="N1000" s="1675"/>
      <c r="O1000" s="1675"/>
      <c r="P1000" s="1675"/>
      <c r="Q1000" s="1675"/>
      <c r="R1000" s="1675"/>
      <c r="S1000" s="1675"/>
      <c r="T1000" s="1675"/>
      <c r="U1000" s="1675"/>
      <c r="V1000" s="1675"/>
      <c r="W1000" s="1675"/>
      <c r="X1000" s="1675"/>
      <c r="Y1000" s="1675"/>
      <c r="Z1000" s="1675"/>
      <c r="AA1000" s="1675"/>
      <c r="AB1000" s="1675"/>
      <c r="AC1000" s="1675"/>
      <c r="AD1000" s="1675"/>
      <c r="AE1000" s="1676"/>
      <c r="AF1000" s="45"/>
      <c r="AG1000" s="5"/>
      <c r="AH1000" s="5"/>
      <c r="AI1000" s="46"/>
      <c r="AJ1000" s="1665"/>
      <c r="AK1000" s="1666"/>
      <c r="AL1000" s="1666"/>
      <c r="AM1000" s="1666"/>
      <c r="AN1000" s="1666"/>
      <c r="AO1000" s="1666"/>
      <c r="AP1000" s="1666"/>
      <c r="AQ1000" s="1667"/>
      <c r="AR1000" s="1059"/>
      <c r="AS1000" s="1059"/>
      <c r="AT1000" s="1059"/>
      <c r="AU1000" s="1059"/>
      <c r="AV1000" s="1059"/>
      <c r="AW1000" s="1059"/>
      <c r="AX1000" s="1059"/>
      <c r="AY1000" s="1059"/>
      <c r="AZ1000" s="2"/>
      <c r="BA1000" s="2"/>
      <c r="BB1000" s="2"/>
      <c r="BC1000" s="2"/>
    </row>
    <row r="1001" spans="1:55" ht="13" customHeight="1">
      <c r="A1001" s="11"/>
      <c r="B1001" s="1065"/>
      <c r="C1001" s="1066"/>
      <c r="D1001" s="1699" t="s">
        <v>1669</v>
      </c>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1"/>
      <c r="AF1001" s="47"/>
      <c r="AG1001" s="1685" t="s">
        <v>694</v>
      </c>
      <c r="AH1001" s="1686"/>
      <c r="AI1001" s="50"/>
      <c r="AJ1001" s="1659">
        <f>ROUND(IF(AG1001="yes",AJ992*0.05,0),0)</f>
        <v>0</v>
      </c>
      <c r="AK1001" s="1660"/>
      <c r="AL1001" s="1660"/>
      <c r="AM1001" s="1660"/>
      <c r="AN1001" s="1660"/>
      <c r="AO1001" s="1660"/>
      <c r="AP1001" s="1660"/>
      <c r="AQ1001" s="1661"/>
      <c r="AR1001" s="1059"/>
      <c r="AS1001" s="1059"/>
      <c r="AT1001" s="1059"/>
      <c r="AU1001" s="1059"/>
      <c r="AV1001" s="1059"/>
      <c r="AW1001" s="1059"/>
      <c r="AX1001" s="1059"/>
      <c r="AY1001" s="1059"/>
      <c r="AZ1001" s="2"/>
      <c r="BA1001" s="2"/>
      <c r="BB1001" s="2"/>
      <c r="BC1001" s="2"/>
    </row>
    <row r="1002" spans="1:55" ht="13" customHeight="1">
      <c r="A1002" s="11"/>
      <c r="B1002" s="1063"/>
      <c r="C1002" s="1067"/>
      <c r="D1002" s="1702" t="s">
        <v>1670</v>
      </c>
      <c r="E1002" s="1703"/>
      <c r="F1002" s="1703"/>
      <c r="G1002" s="1703"/>
      <c r="H1002" s="1703"/>
      <c r="I1002" s="1703"/>
      <c r="J1002" s="1703"/>
      <c r="K1002" s="1703"/>
      <c r="L1002" s="1703"/>
      <c r="M1002" s="1703"/>
      <c r="N1002" s="1703"/>
      <c r="O1002" s="1703"/>
      <c r="P1002" s="1703"/>
      <c r="Q1002" s="1703"/>
      <c r="R1002" s="1703"/>
      <c r="S1002" s="1703"/>
      <c r="T1002" s="1703"/>
      <c r="U1002" s="1703"/>
      <c r="V1002" s="1703"/>
      <c r="W1002" s="1703"/>
      <c r="X1002" s="1703"/>
      <c r="Y1002" s="1703"/>
      <c r="Z1002" s="1703"/>
      <c r="AA1002" s="1703"/>
      <c r="AB1002" s="1703"/>
      <c r="AC1002" s="1703"/>
      <c r="AD1002" s="1703"/>
      <c r="AE1002" s="1704"/>
      <c r="AF1002" s="44"/>
      <c r="AG1002" s="11"/>
      <c r="AH1002" s="11"/>
      <c r="AI1002" s="48"/>
      <c r="AJ1002" s="1662"/>
      <c r="AK1002" s="1663"/>
      <c r="AL1002" s="1663"/>
      <c r="AM1002" s="1663"/>
      <c r="AN1002" s="1663"/>
      <c r="AO1002" s="1663"/>
      <c r="AP1002" s="1663"/>
      <c r="AQ1002" s="1664"/>
      <c r="AR1002" s="1059"/>
      <c r="AS1002" s="1059"/>
      <c r="AT1002" s="1059"/>
      <c r="AU1002" s="1059"/>
      <c r="AV1002" s="1059"/>
      <c r="AW1002" s="1059"/>
      <c r="AX1002" s="1059"/>
      <c r="AY1002" s="2"/>
      <c r="AZ1002" s="2"/>
      <c r="BB1002" s="2"/>
    </row>
    <row r="1003" spans="1:55" ht="13" customHeight="1">
      <c r="A1003" s="11"/>
      <c r="B1003" s="1063"/>
      <c r="C1003" s="1067"/>
      <c r="D1003" s="1702"/>
      <c r="E1003" s="1703"/>
      <c r="F1003" s="1703"/>
      <c r="G1003" s="1703"/>
      <c r="H1003" s="1703"/>
      <c r="I1003" s="1703"/>
      <c r="J1003" s="1703"/>
      <c r="K1003" s="1703"/>
      <c r="L1003" s="1703"/>
      <c r="M1003" s="1703"/>
      <c r="N1003" s="1703"/>
      <c r="O1003" s="1703"/>
      <c r="P1003" s="1703"/>
      <c r="Q1003" s="1703"/>
      <c r="R1003" s="1703"/>
      <c r="S1003" s="1703"/>
      <c r="T1003" s="1703"/>
      <c r="U1003" s="1703"/>
      <c r="V1003" s="1703"/>
      <c r="W1003" s="1703"/>
      <c r="X1003" s="1703"/>
      <c r="Y1003" s="1703"/>
      <c r="Z1003" s="1703"/>
      <c r="AA1003" s="1703"/>
      <c r="AB1003" s="1703"/>
      <c r="AC1003" s="1703"/>
      <c r="AD1003" s="1703"/>
      <c r="AE1003" s="1704"/>
      <c r="AF1003" s="44"/>
      <c r="AG1003" s="11"/>
      <c r="AH1003" s="11"/>
      <c r="AI1003" s="48"/>
      <c r="AJ1003" s="1662"/>
      <c r="AK1003" s="1663"/>
      <c r="AL1003" s="1663"/>
      <c r="AM1003" s="1663"/>
      <c r="AN1003" s="1663"/>
      <c r="AO1003" s="1663"/>
      <c r="AP1003" s="1663"/>
      <c r="AQ1003" s="1664"/>
      <c r="AR1003" s="1059"/>
      <c r="AS1003" s="1059"/>
      <c r="AT1003" s="1059"/>
      <c r="AU1003" s="1059"/>
      <c r="AV1003" s="1059"/>
      <c r="AW1003" s="1059"/>
      <c r="AX1003" s="1059"/>
      <c r="AY1003" s="720">
        <f>G753+O797</f>
        <v>52</v>
      </c>
      <c r="AZ1003" s="2"/>
      <c r="BB1003" s="2"/>
    </row>
    <row r="1004" spans="1:55" ht="13" customHeight="1">
      <c r="A1004" s="11"/>
      <c r="B1004" s="1063"/>
      <c r="C1004" s="1067"/>
      <c r="D1004" s="1702"/>
      <c r="E1004" s="1703"/>
      <c r="F1004" s="1703"/>
      <c r="G1004" s="1703"/>
      <c r="H1004" s="1703"/>
      <c r="I1004" s="1703"/>
      <c r="J1004" s="1703"/>
      <c r="K1004" s="1703"/>
      <c r="L1004" s="1703"/>
      <c r="M1004" s="1703"/>
      <c r="N1004" s="1703"/>
      <c r="O1004" s="1703"/>
      <c r="P1004" s="1703"/>
      <c r="Q1004" s="1703"/>
      <c r="R1004" s="1703"/>
      <c r="S1004" s="1703"/>
      <c r="T1004" s="1703"/>
      <c r="U1004" s="1703"/>
      <c r="V1004" s="1703"/>
      <c r="W1004" s="1703"/>
      <c r="X1004" s="1703"/>
      <c r="Y1004" s="1703"/>
      <c r="Z1004" s="1703"/>
      <c r="AA1004" s="1703"/>
      <c r="AB1004" s="1703"/>
      <c r="AC1004" s="1703"/>
      <c r="AD1004" s="1703"/>
      <c r="AE1004" s="1704"/>
      <c r="AF1004" s="44"/>
      <c r="AG1004" s="11"/>
      <c r="AH1004" s="11"/>
      <c r="AI1004" s="48"/>
      <c r="AJ1004" s="1662"/>
      <c r="AK1004" s="1663"/>
      <c r="AL1004" s="1663"/>
      <c r="AM1004" s="1663"/>
      <c r="AN1004" s="1663"/>
      <c r="AO1004" s="1663"/>
      <c r="AP1004" s="1663"/>
      <c r="AQ1004" s="1664"/>
      <c r="AR1004" s="1059"/>
      <c r="AS1004" s="1059"/>
      <c r="AT1004" s="1059"/>
      <c r="AU1004" s="1059"/>
      <c r="AV1004" s="1059"/>
      <c r="AW1004" s="1059"/>
      <c r="AX1004" s="1059"/>
      <c r="AY1004" s="11"/>
      <c r="AZ1004" s="2"/>
      <c r="BB1004" s="2"/>
    </row>
    <row r="1005" spans="1:55" ht="13" customHeight="1">
      <c r="A1005" s="11"/>
      <c r="B1005" s="1063"/>
      <c r="C1005" s="1067"/>
      <c r="D1005" s="1702"/>
      <c r="E1005" s="1703"/>
      <c r="F1005" s="1703"/>
      <c r="G1005" s="1703"/>
      <c r="H1005" s="1703"/>
      <c r="I1005" s="1703"/>
      <c r="J1005" s="1703"/>
      <c r="K1005" s="1703"/>
      <c r="L1005" s="1703"/>
      <c r="M1005" s="1703"/>
      <c r="N1005" s="1703"/>
      <c r="O1005" s="1703"/>
      <c r="P1005" s="1703"/>
      <c r="Q1005" s="1703"/>
      <c r="R1005" s="1703"/>
      <c r="S1005" s="1703"/>
      <c r="T1005" s="1703"/>
      <c r="U1005" s="1703"/>
      <c r="V1005" s="1703"/>
      <c r="W1005" s="1703"/>
      <c r="X1005" s="1703"/>
      <c r="Y1005" s="1703"/>
      <c r="Z1005" s="1703"/>
      <c r="AA1005" s="1703"/>
      <c r="AB1005" s="1703"/>
      <c r="AC1005" s="1703"/>
      <c r="AD1005" s="1703"/>
      <c r="AE1005" s="1704"/>
      <c r="AF1005" s="44"/>
      <c r="AG1005" s="11"/>
      <c r="AH1005" s="11"/>
      <c r="AI1005" s="48"/>
      <c r="AJ1005" s="1662"/>
      <c r="AK1005" s="1663"/>
      <c r="AL1005" s="1663"/>
      <c r="AM1005" s="1663"/>
      <c r="AN1005" s="1663"/>
      <c r="AO1005" s="1663"/>
      <c r="AP1005" s="1663"/>
      <c r="AQ1005" s="1664"/>
      <c r="AR1005" s="1059"/>
      <c r="AS1005" s="1059"/>
      <c r="AT1005" s="1059"/>
      <c r="AU1005" s="1059"/>
      <c r="AV1005" s="1059"/>
      <c r="AW1005" s="1059"/>
      <c r="AX1005" s="1059"/>
      <c r="AY1005" s="719">
        <f>ROUNDDOWN(X1048/I1048,2)</f>
        <v>0</v>
      </c>
      <c r="AZ1005" s="2"/>
      <c r="BB1005" s="2"/>
    </row>
    <row r="1006" spans="1:55" ht="13" customHeight="1">
      <c r="A1006" s="11"/>
      <c r="B1006" s="1068"/>
      <c r="C1006" s="1069"/>
      <c r="D1006" s="1705"/>
      <c r="E1006" s="1706"/>
      <c r="F1006" s="1706"/>
      <c r="G1006" s="1706"/>
      <c r="H1006" s="1706"/>
      <c r="I1006" s="1706"/>
      <c r="J1006" s="1706"/>
      <c r="K1006" s="1706"/>
      <c r="L1006" s="1706"/>
      <c r="M1006" s="1706"/>
      <c r="N1006" s="1706"/>
      <c r="O1006" s="1706"/>
      <c r="P1006" s="1706"/>
      <c r="Q1006" s="1706"/>
      <c r="R1006" s="1706"/>
      <c r="S1006" s="1706"/>
      <c r="T1006" s="1706"/>
      <c r="U1006" s="1706"/>
      <c r="V1006" s="1706"/>
      <c r="W1006" s="1706"/>
      <c r="X1006" s="1706"/>
      <c r="Y1006" s="1706"/>
      <c r="Z1006" s="1706"/>
      <c r="AA1006" s="1706"/>
      <c r="AB1006" s="1706"/>
      <c r="AC1006" s="1706"/>
      <c r="AD1006" s="1706"/>
      <c r="AE1006" s="1707"/>
      <c r="AF1006" s="45"/>
      <c r="AG1006" s="5"/>
      <c r="AH1006" s="5"/>
      <c r="AI1006" s="46"/>
      <c r="AJ1006" s="1665"/>
      <c r="AK1006" s="1666"/>
      <c r="AL1006" s="1666"/>
      <c r="AM1006" s="1666"/>
      <c r="AN1006" s="1666"/>
      <c r="AO1006" s="1666"/>
      <c r="AP1006" s="1666"/>
      <c r="AQ1006" s="1667"/>
      <c r="AR1006" s="1059"/>
      <c r="AS1006" s="1059"/>
      <c r="AT1006" s="1059"/>
      <c r="AU1006" s="1059"/>
      <c r="AV1006" s="1059"/>
      <c r="AW1006" s="1059"/>
      <c r="AX1006" s="1059"/>
      <c r="AY1006" s="719">
        <f>ROUNDDOWN(X1052/I1052,2)</f>
        <v>0.48</v>
      </c>
      <c r="AZ1006" s="2"/>
      <c r="BB1006" s="2"/>
    </row>
    <row r="1007" spans="1:55" ht="13" customHeight="1">
      <c r="A1007" s="11"/>
      <c r="B1007" s="1065"/>
      <c r="C1007" s="214" t="s">
        <v>1671</v>
      </c>
      <c r="D1007" s="1699" t="s">
        <v>1672</v>
      </c>
      <c r="E1007" s="1700"/>
      <c r="F1007" s="1700"/>
      <c r="G1007" s="1700"/>
      <c r="H1007" s="1700"/>
      <c r="I1007" s="1700"/>
      <c r="J1007" s="1700"/>
      <c r="K1007" s="1700"/>
      <c r="L1007" s="1700"/>
      <c r="M1007" s="1700"/>
      <c r="N1007" s="1700"/>
      <c r="O1007" s="1700"/>
      <c r="P1007" s="1700"/>
      <c r="Q1007" s="1700"/>
      <c r="R1007" s="1700"/>
      <c r="S1007" s="1700"/>
      <c r="T1007" s="1700"/>
      <c r="U1007" s="1700"/>
      <c r="V1007" s="1700"/>
      <c r="W1007" s="1700"/>
      <c r="X1007" s="1700"/>
      <c r="Y1007" s="1700"/>
      <c r="Z1007" s="1700"/>
      <c r="AA1007" s="1700"/>
      <c r="AB1007" s="1700"/>
      <c r="AC1007" s="1700"/>
      <c r="AD1007" s="1700"/>
      <c r="AE1007" s="1701"/>
      <c r="AF1007" s="49"/>
      <c r="AG1007" s="1685" t="s">
        <v>694</v>
      </c>
      <c r="AH1007" s="1686"/>
      <c r="AI1007" s="50"/>
      <c r="AJ1007" s="1659">
        <f>ROUND(IF(AG1007="yes",AJ992*0.1,0),0)</f>
        <v>0</v>
      </c>
      <c r="AK1007" s="1660"/>
      <c r="AL1007" s="1660"/>
      <c r="AM1007" s="1660"/>
      <c r="AN1007" s="1660"/>
      <c r="AO1007" s="1660"/>
      <c r="AP1007" s="1660"/>
      <c r="AQ1007" s="1661"/>
      <c r="AR1007" s="1059"/>
      <c r="AS1007" s="1059"/>
      <c r="AT1007" s="1059"/>
      <c r="AU1007" s="1059"/>
      <c r="AV1007" s="1059"/>
      <c r="AW1007" s="1059"/>
      <c r="AX1007" s="1059"/>
      <c r="BB1007" s="2"/>
    </row>
    <row r="1008" spans="1:55" ht="13" customHeight="1">
      <c r="A1008" s="11"/>
      <c r="B1008" s="44"/>
      <c r="C1008" s="1070"/>
      <c r="D1008" s="1634" t="s">
        <v>1673</v>
      </c>
      <c r="E1008" s="1635"/>
      <c r="F1008" s="1635"/>
      <c r="G1008" s="1635"/>
      <c r="H1008" s="1635"/>
      <c r="I1008" s="1635"/>
      <c r="J1008" s="1635"/>
      <c r="K1008" s="1635"/>
      <c r="L1008" s="1635"/>
      <c r="M1008" s="1635"/>
      <c r="N1008" s="1635"/>
      <c r="O1008" s="1635"/>
      <c r="P1008" s="1635"/>
      <c r="Q1008" s="1635"/>
      <c r="R1008" s="1635"/>
      <c r="S1008" s="1635"/>
      <c r="T1008" s="1635"/>
      <c r="U1008" s="1635"/>
      <c r="V1008" s="1635"/>
      <c r="W1008" s="1635"/>
      <c r="X1008" s="1635"/>
      <c r="Y1008" s="1635"/>
      <c r="Z1008" s="1635"/>
      <c r="AA1008" s="1635"/>
      <c r="AB1008" s="1635"/>
      <c r="AC1008" s="1635"/>
      <c r="AD1008" s="1635"/>
      <c r="AE1008" s="1636"/>
      <c r="AF1008" s="44"/>
      <c r="AI1008" s="48"/>
      <c r="AJ1008" s="1662"/>
      <c r="AK1008" s="1663"/>
      <c r="AL1008" s="1663"/>
      <c r="AM1008" s="1663"/>
      <c r="AN1008" s="1663"/>
      <c r="AO1008" s="1663"/>
      <c r="AP1008" s="1663"/>
      <c r="AQ1008" s="1664"/>
      <c r="AR1008" s="1059"/>
      <c r="AS1008" s="1059"/>
      <c r="AT1008" s="1059"/>
      <c r="AU1008" s="1059"/>
      <c r="AV1008" s="1059"/>
      <c r="AW1008" s="1059"/>
      <c r="AX1008" s="1059"/>
    </row>
    <row r="1009" spans="1:51" ht="13" customHeight="1">
      <c r="A1009" s="11"/>
      <c r="B1009" s="44"/>
      <c r="C1009" s="1070"/>
      <c r="D1009" s="1634"/>
      <c r="E1009" s="1635"/>
      <c r="F1009" s="1635"/>
      <c r="G1009" s="1635"/>
      <c r="H1009" s="1635"/>
      <c r="I1009" s="1635"/>
      <c r="J1009" s="1635"/>
      <c r="K1009" s="1635"/>
      <c r="L1009" s="1635"/>
      <c r="M1009" s="1635"/>
      <c r="N1009" s="1635"/>
      <c r="O1009" s="1635"/>
      <c r="P1009" s="1635"/>
      <c r="Q1009" s="1635"/>
      <c r="R1009" s="1635"/>
      <c r="S1009" s="1635"/>
      <c r="T1009" s="1635"/>
      <c r="U1009" s="1635"/>
      <c r="V1009" s="1635"/>
      <c r="W1009" s="1635"/>
      <c r="X1009" s="1635"/>
      <c r="Y1009" s="1635"/>
      <c r="Z1009" s="1635"/>
      <c r="AA1009" s="1635"/>
      <c r="AB1009" s="1635"/>
      <c r="AC1009" s="1635"/>
      <c r="AD1009" s="1635"/>
      <c r="AE1009" s="1636"/>
      <c r="AF1009" s="44"/>
      <c r="AG1009" s="11"/>
      <c r="AH1009" s="11"/>
      <c r="AI1009" s="48"/>
      <c r="AJ1009" s="1662"/>
      <c r="AK1009" s="1663"/>
      <c r="AL1009" s="1663"/>
      <c r="AM1009" s="1663"/>
      <c r="AN1009" s="1663"/>
      <c r="AO1009" s="1663"/>
      <c r="AP1009" s="1663"/>
      <c r="AQ1009" s="1664"/>
      <c r="AR1009" s="1059"/>
      <c r="AS1009" s="1059"/>
      <c r="AT1009" s="1059"/>
      <c r="AU1009" s="1059"/>
      <c r="AV1009" s="1059"/>
      <c r="AW1009" s="1059"/>
      <c r="AX1009" s="1059"/>
    </row>
    <row r="1010" spans="1:51" ht="13" customHeight="1">
      <c r="A1010" s="11"/>
      <c r="B1010" s="1071"/>
      <c r="C1010" s="1069"/>
      <c r="D1010" s="1677"/>
      <c r="E1010" s="1678"/>
      <c r="F1010" s="1678"/>
      <c r="G1010" s="1678"/>
      <c r="H1010" s="1678"/>
      <c r="I1010" s="1678"/>
      <c r="J1010" s="1678"/>
      <c r="K1010" s="1678"/>
      <c r="L1010" s="1678"/>
      <c r="M1010" s="1678"/>
      <c r="N1010" s="1678"/>
      <c r="O1010" s="1678"/>
      <c r="P1010" s="1678"/>
      <c r="Q1010" s="1678"/>
      <c r="R1010" s="1678"/>
      <c r="S1010" s="1678"/>
      <c r="T1010" s="1678"/>
      <c r="U1010" s="1678"/>
      <c r="V1010" s="1678"/>
      <c r="W1010" s="1678"/>
      <c r="X1010" s="1678"/>
      <c r="Y1010" s="1678"/>
      <c r="Z1010" s="1678"/>
      <c r="AA1010" s="1678"/>
      <c r="AB1010" s="1678"/>
      <c r="AC1010" s="1678"/>
      <c r="AD1010" s="1678"/>
      <c r="AE1010" s="1679"/>
      <c r="AF1010" s="45"/>
      <c r="AG1010" s="5"/>
      <c r="AH1010" s="5"/>
      <c r="AI1010" s="46"/>
      <c r="AJ1010" s="1665"/>
      <c r="AK1010" s="1666"/>
      <c r="AL1010" s="1666"/>
      <c r="AM1010" s="1666"/>
      <c r="AN1010" s="1666"/>
      <c r="AO1010" s="1666"/>
      <c r="AP1010" s="1666"/>
      <c r="AQ1010" s="1667"/>
      <c r="AR1010" s="1059"/>
      <c r="AS1010" s="1059"/>
      <c r="AT1010" s="1059"/>
      <c r="AU1010" s="1059"/>
      <c r="AV1010" s="1059"/>
      <c r="AW1010" s="1059"/>
      <c r="AX1010" s="1059"/>
    </row>
    <row r="1011" spans="1:51" ht="13" customHeight="1">
      <c r="A1011" s="11"/>
      <c r="B1011" s="47"/>
      <c r="C1011" s="214" t="s">
        <v>1674</v>
      </c>
      <c r="D1011" s="1699" t="s">
        <v>1675</v>
      </c>
      <c r="E1011" s="1700"/>
      <c r="F1011" s="1700"/>
      <c r="G1011" s="1700"/>
      <c r="H1011" s="1700"/>
      <c r="I1011" s="1700"/>
      <c r="J1011" s="1700"/>
      <c r="K1011" s="1700"/>
      <c r="L1011" s="1700"/>
      <c r="M1011" s="1700"/>
      <c r="N1011" s="1700"/>
      <c r="O1011" s="1700"/>
      <c r="P1011" s="1700"/>
      <c r="Q1011" s="1700"/>
      <c r="R1011" s="1700"/>
      <c r="S1011" s="1700"/>
      <c r="T1011" s="1700"/>
      <c r="U1011" s="1700"/>
      <c r="V1011" s="1700"/>
      <c r="W1011" s="1700"/>
      <c r="X1011" s="1700"/>
      <c r="Y1011" s="1700"/>
      <c r="Z1011" s="1700"/>
      <c r="AA1011" s="1700"/>
      <c r="AB1011" s="1700"/>
      <c r="AC1011" s="1700"/>
      <c r="AD1011" s="1700"/>
      <c r="AE1011" s="1701"/>
      <c r="AF1011" s="47"/>
      <c r="AG1011" s="1685" t="s">
        <v>694</v>
      </c>
      <c r="AH1011" s="1686"/>
      <c r="AI1011" s="50"/>
      <c r="AJ1011" s="1659">
        <f>ROUND(IF(AG1011="yes",AJ992*0.02,0),0)</f>
        <v>0</v>
      </c>
      <c r="AK1011" s="1660"/>
      <c r="AL1011" s="1660"/>
      <c r="AM1011" s="1660"/>
      <c r="AN1011" s="1660"/>
      <c r="AO1011" s="1660"/>
      <c r="AP1011" s="1660"/>
      <c r="AQ1011" s="1661"/>
      <c r="AR1011" s="1059"/>
      <c r="AS1011" s="1059"/>
      <c r="AT1011" s="1059"/>
      <c r="AU1011" s="1059"/>
      <c r="AV1011" s="1059"/>
      <c r="AW1011" s="1059"/>
      <c r="AX1011" s="1059"/>
      <c r="AY1011" s="1072">
        <f>IF(SUM(AY1015:AY1023)&lt;=0.2,SUM(AY1015:AY1023),0.2)</f>
        <v>0</v>
      </c>
    </row>
    <row r="1012" spans="1:51" ht="14.25" customHeight="1">
      <c r="A1012" s="11"/>
      <c r="B1012" s="44"/>
      <c r="C1012" s="1070"/>
      <c r="D1012" s="1677" t="s">
        <v>1676</v>
      </c>
      <c r="E1012" s="1678"/>
      <c r="F1012" s="1678"/>
      <c r="G1012" s="1678"/>
      <c r="H1012" s="1678"/>
      <c r="I1012" s="1678"/>
      <c r="J1012" s="1678"/>
      <c r="K1012" s="1678"/>
      <c r="L1012" s="1678"/>
      <c r="M1012" s="1678"/>
      <c r="N1012" s="1678"/>
      <c r="O1012" s="1678"/>
      <c r="P1012" s="1678"/>
      <c r="Q1012" s="1678"/>
      <c r="R1012" s="1678"/>
      <c r="S1012" s="1678"/>
      <c r="T1012" s="1678"/>
      <c r="U1012" s="1678"/>
      <c r="V1012" s="1678"/>
      <c r="W1012" s="1678"/>
      <c r="X1012" s="1678"/>
      <c r="Y1012" s="1678"/>
      <c r="Z1012" s="1678"/>
      <c r="AA1012" s="1678"/>
      <c r="AB1012" s="1678"/>
      <c r="AC1012" s="1678"/>
      <c r="AD1012" s="1678"/>
      <c r="AE1012" s="1679"/>
      <c r="AF1012" s="45"/>
      <c r="AG1012" s="5"/>
      <c r="AH1012" s="5"/>
      <c r="AI1012" s="46"/>
      <c r="AJ1012" s="1665"/>
      <c r="AK1012" s="1666"/>
      <c r="AL1012" s="1666"/>
      <c r="AM1012" s="1666"/>
      <c r="AN1012" s="1666"/>
      <c r="AO1012" s="1666"/>
      <c r="AP1012" s="1666"/>
      <c r="AQ1012" s="1667"/>
      <c r="AR1012" s="1059"/>
      <c r="AS1012" s="1059"/>
      <c r="AT1012" s="1059"/>
      <c r="AU1012" s="1059"/>
      <c r="AV1012" s="1059"/>
      <c r="AW1012" s="1059"/>
      <c r="AX1012" s="1059"/>
    </row>
    <row r="1013" spans="1:51" ht="13" customHeight="1">
      <c r="A1013" s="11"/>
      <c r="B1013" s="47"/>
      <c r="C1013" s="214" t="s">
        <v>1677</v>
      </c>
      <c r="D1013" s="1699" t="s">
        <v>1678</v>
      </c>
      <c r="E1013" s="1700"/>
      <c r="F1013" s="1700"/>
      <c r="G1013" s="1700"/>
      <c r="H1013" s="1700"/>
      <c r="I1013" s="1700"/>
      <c r="J1013" s="1700"/>
      <c r="K1013" s="1700"/>
      <c r="L1013" s="1700"/>
      <c r="M1013" s="1700"/>
      <c r="N1013" s="1700"/>
      <c r="O1013" s="1700"/>
      <c r="P1013" s="1700"/>
      <c r="Q1013" s="1700"/>
      <c r="R1013" s="1700"/>
      <c r="S1013" s="1700"/>
      <c r="T1013" s="1700"/>
      <c r="U1013" s="1700"/>
      <c r="V1013" s="1700"/>
      <c r="W1013" s="1700"/>
      <c r="X1013" s="1700"/>
      <c r="Y1013" s="1700"/>
      <c r="Z1013" s="1700"/>
      <c r="AA1013" s="1700"/>
      <c r="AB1013" s="1700"/>
      <c r="AC1013" s="1700"/>
      <c r="AD1013" s="1700"/>
      <c r="AE1013" s="1701"/>
      <c r="AF1013" s="47"/>
      <c r="AG1013" s="1685" t="s">
        <v>694</v>
      </c>
      <c r="AH1013" s="1686"/>
      <c r="AI1013" s="47"/>
      <c r="AJ1013" s="1659">
        <f>ROUND(IF(AG1013="yes",AJ992*0.02,0),0)</f>
        <v>0</v>
      </c>
      <c r="AK1013" s="1660"/>
      <c r="AL1013" s="1660"/>
      <c r="AM1013" s="1660"/>
      <c r="AN1013" s="1660"/>
      <c r="AO1013" s="1660"/>
      <c r="AP1013" s="1660"/>
      <c r="AQ1013" s="1661"/>
      <c r="AR1013" s="1059"/>
      <c r="AS1013" s="1059"/>
      <c r="AT1013" s="1059"/>
      <c r="AU1013" s="1059"/>
      <c r="AV1013" s="1059"/>
      <c r="AW1013" s="1059"/>
      <c r="AX1013" s="1059"/>
      <c r="AY1013" s="1073">
        <f>IF(A1065="Yes",0.2,0)</f>
        <v>0</v>
      </c>
    </row>
    <row r="1014" spans="1:51" ht="13" customHeight="1">
      <c r="A1014" s="11"/>
      <c r="B1014" s="44"/>
      <c r="C1014" s="1070"/>
      <c r="D1014" s="1634" t="s">
        <v>1679</v>
      </c>
      <c r="E1014" s="1635"/>
      <c r="F1014" s="1635"/>
      <c r="G1014" s="1635"/>
      <c r="H1014" s="1635"/>
      <c r="I1014" s="1635"/>
      <c r="J1014" s="1635"/>
      <c r="K1014" s="1635"/>
      <c r="L1014" s="1635"/>
      <c r="M1014" s="1635"/>
      <c r="N1014" s="1635"/>
      <c r="O1014" s="1635"/>
      <c r="P1014" s="1635"/>
      <c r="Q1014" s="1635"/>
      <c r="R1014" s="1635"/>
      <c r="S1014" s="1635"/>
      <c r="T1014" s="1635"/>
      <c r="U1014" s="1635"/>
      <c r="V1014" s="1635"/>
      <c r="W1014" s="1635"/>
      <c r="X1014" s="1635"/>
      <c r="Y1014" s="1635"/>
      <c r="Z1014" s="1635"/>
      <c r="AA1014" s="1635"/>
      <c r="AB1014" s="1635"/>
      <c r="AC1014" s="1635"/>
      <c r="AD1014" s="1635"/>
      <c r="AE1014" s="1636"/>
      <c r="AF1014" s="1779" t="str">
        <f>IF(AND(AG1013="yes",T212&lt;&gt;1),"The project may not be eligible for this boost","")</f>
        <v/>
      </c>
      <c r="AG1014" s="1780"/>
      <c r="AH1014" s="1780"/>
      <c r="AI1014" s="1781"/>
      <c r="AJ1014" s="1662"/>
      <c r="AK1014" s="1663"/>
      <c r="AL1014" s="1663"/>
      <c r="AM1014" s="1663"/>
      <c r="AN1014" s="1663"/>
      <c r="AO1014" s="1663"/>
      <c r="AP1014" s="1663"/>
      <c r="AQ1014" s="1664"/>
      <c r="AR1014" s="1059"/>
      <c r="AS1014" s="1059"/>
      <c r="AT1014" s="1059"/>
      <c r="AU1014" s="1059"/>
      <c r="AV1014" s="1059"/>
      <c r="AW1014" s="1059"/>
      <c r="AX1014" s="1059"/>
      <c r="AY1014" s="1073">
        <f>IF(A1067="Yes",0.15,0)</f>
        <v>0</v>
      </c>
    </row>
    <row r="1015" spans="1:51" ht="13" customHeight="1">
      <c r="A1015" s="11"/>
      <c r="B1015" s="1068"/>
      <c r="C1015" s="1069"/>
      <c r="D1015" s="1677"/>
      <c r="E1015" s="1678"/>
      <c r="F1015" s="1678"/>
      <c r="G1015" s="1678"/>
      <c r="H1015" s="1678"/>
      <c r="I1015" s="1678"/>
      <c r="J1015" s="1678"/>
      <c r="K1015" s="1678"/>
      <c r="L1015" s="1678"/>
      <c r="M1015" s="1678"/>
      <c r="N1015" s="1678"/>
      <c r="O1015" s="1678"/>
      <c r="P1015" s="1678"/>
      <c r="Q1015" s="1678"/>
      <c r="R1015" s="1678"/>
      <c r="S1015" s="1678"/>
      <c r="T1015" s="1678"/>
      <c r="U1015" s="1678"/>
      <c r="V1015" s="1678"/>
      <c r="W1015" s="1678"/>
      <c r="X1015" s="1678"/>
      <c r="Y1015" s="1678"/>
      <c r="Z1015" s="1678"/>
      <c r="AA1015" s="1678"/>
      <c r="AB1015" s="1678"/>
      <c r="AC1015" s="1678"/>
      <c r="AD1015" s="1678"/>
      <c r="AE1015" s="1679"/>
      <c r="AF1015" s="1782"/>
      <c r="AG1015" s="1783"/>
      <c r="AH1015" s="1783"/>
      <c r="AI1015" s="1784"/>
      <c r="AJ1015" s="1665"/>
      <c r="AK1015" s="1666"/>
      <c r="AL1015" s="1666"/>
      <c r="AM1015" s="1666"/>
      <c r="AN1015" s="1666"/>
      <c r="AO1015" s="1666"/>
      <c r="AP1015" s="1666"/>
      <c r="AQ1015" s="1667"/>
      <c r="AR1015" s="1059"/>
      <c r="AS1015" s="1059"/>
      <c r="AT1015" s="1059"/>
      <c r="AU1015" s="1059"/>
      <c r="AV1015" s="1059"/>
      <c r="AW1015" s="1059"/>
      <c r="AX1015" s="1059"/>
      <c r="AY1015" s="1073">
        <f>IF(A1070="Yes",0.05,0)</f>
        <v>0</v>
      </c>
    </row>
    <row r="1016" spans="1:51" ht="13" customHeight="1">
      <c r="A1016" s="11"/>
      <c r="B1016" s="47"/>
      <c r="C1016" s="214" t="s">
        <v>1680</v>
      </c>
      <c r="D1016" s="1668" t="s">
        <v>1681</v>
      </c>
      <c r="E1016" s="1669"/>
      <c r="F1016" s="1669"/>
      <c r="G1016" s="1669"/>
      <c r="H1016" s="1669"/>
      <c r="I1016" s="1669"/>
      <c r="J1016" s="1669"/>
      <c r="K1016" s="1669"/>
      <c r="L1016" s="1669"/>
      <c r="M1016" s="1669"/>
      <c r="N1016" s="1669"/>
      <c r="O1016" s="1669"/>
      <c r="P1016" s="1669"/>
      <c r="Q1016" s="1669"/>
      <c r="R1016" s="1669"/>
      <c r="S1016" s="1669"/>
      <c r="T1016" s="1669"/>
      <c r="U1016" s="1669"/>
      <c r="V1016" s="1669"/>
      <c r="W1016" s="1669"/>
      <c r="X1016" s="1669"/>
      <c r="Y1016" s="1669"/>
      <c r="Z1016" s="1669"/>
      <c r="AA1016" s="1669"/>
      <c r="AB1016" s="1669"/>
      <c r="AC1016" s="1669"/>
      <c r="AD1016" s="1669"/>
      <c r="AE1016" s="1670"/>
      <c r="AF1016" s="47"/>
      <c r="AG1016" s="1685" t="s">
        <v>694</v>
      </c>
      <c r="AH1016" s="1686"/>
      <c r="AI1016" s="50"/>
      <c r="AJ1016" s="1659">
        <f>IF(AG1016="yes",AJ992*AY1011,0)</f>
        <v>0</v>
      </c>
      <c r="AK1016" s="1660"/>
      <c r="AL1016" s="1660"/>
      <c r="AM1016" s="1660"/>
      <c r="AN1016" s="1660"/>
      <c r="AO1016" s="1660"/>
      <c r="AP1016" s="1660"/>
      <c r="AQ1016" s="1661"/>
      <c r="AR1016" s="1059"/>
      <c r="AS1016" s="1059"/>
      <c r="AT1016" s="1059"/>
      <c r="AU1016" s="1059"/>
      <c r="AV1016" s="1059"/>
      <c r="AW1016" s="1059"/>
      <c r="AX1016" s="1059"/>
      <c r="AY1016" s="1073">
        <f>IF(A1075="Yes",0.02,0)</f>
        <v>0</v>
      </c>
    </row>
    <row r="1017" spans="1:51" ht="13" customHeight="1">
      <c r="A1017" s="11"/>
      <c r="B1017" s="44"/>
      <c r="C1017" s="1070"/>
      <c r="D1017" s="1634" t="s">
        <v>1682</v>
      </c>
      <c r="E1017" s="1635"/>
      <c r="F1017" s="1635"/>
      <c r="G1017" s="1635"/>
      <c r="H1017" s="1635"/>
      <c r="I1017" s="1635"/>
      <c r="J1017" s="1635"/>
      <c r="K1017" s="1635"/>
      <c r="L1017" s="1635"/>
      <c r="M1017" s="1635"/>
      <c r="N1017" s="1635"/>
      <c r="O1017" s="1635"/>
      <c r="P1017" s="1635"/>
      <c r="Q1017" s="1635"/>
      <c r="R1017" s="1635"/>
      <c r="S1017" s="1635"/>
      <c r="T1017" s="1635"/>
      <c r="U1017" s="1635"/>
      <c r="V1017" s="1635"/>
      <c r="W1017" s="1635"/>
      <c r="X1017" s="1635"/>
      <c r="Y1017" s="1635"/>
      <c r="Z1017" s="1635"/>
      <c r="AA1017" s="1635"/>
      <c r="AB1017" s="1635"/>
      <c r="AC1017" s="1635"/>
      <c r="AD1017" s="1635"/>
      <c r="AE1017" s="1636"/>
      <c r="AF1017" s="1773" t="str">
        <f>IF(AND(AG1016="Yes",AY1011=0),AY1027,"")</f>
        <v/>
      </c>
      <c r="AG1017" s="1774"/>
      <c r="AH1017" s="1774"/>
      <c r="AI1017" s="1775"/>
      <c r="AJ1017" s="1662"/>
      <c r="AK1017" s="1663"/>
      <c r="AL1017" s="1663"/>
      <c r="AM1017" s="1663"/>
      <c r="AN1017" s="1663"/>
      <c r="AO1017" s="1663"/>
      <c r="AP1017" s="1663"/>
      <c r="AQ1017" s="1664"/>
      <c r="AR1017" s="1059"/>
      <c r="AS1017" s="1059"/>
      <c r="AT1017" s="1059"/>
      <c r="AU1017" s="1059"/>
      <c r="AV1017" s="1059"/>
      <c r="AW1017" s="1059"/>
      <c r="AX1017" s="1059"/>
      <c r="AY1017" s="1073">
        <f>IF(A1081="Yes",0.04,0)</f>
        <v>0</v>
      </c>
    </row>
    <row r="1018" spans="1:51" ht="13" customHeight="1">
      <c r="A1018" s="11"/>
      <c r="B1018" s="44"/>
      <c r="C1018" s="1070"/>
      <c r="D1018" s="1634"/>
      <c r="E1018" s="1635"/>
      <c r="F1018" s="1635"/>
      <c r="G1018" s="1635"/>
      <c r="H1018" s="1635"/>
      <c r="I1018" s="1635"/>
      <c r="J1018" s="1635"/>
      <c r="K1018" s="1635"/>
      <c r="L1018" s="1635"/>
      <c r="M1018" s="1635"/>
      <c r="N1018" s="1635"/>
      <c r="O1018" s="1635"/>
      <c r="P1018" s="1635"/>
      <c r="Q1018" s="1635"/>
      <c r="R1018" s="1635"/>
      <c r="S1018" s="1635"/>
      <c r="T1018" s="1635"/>
      <c r="U1018" s="1635"/>
      <c r="V1018" s="1635"/>
      <c r="W1018" s="1635"/>
      <c r="X1018" s="1635"/>
      <c r="Y1018" s="1635"/>
      <c r="Z1018" s="1635"/>
      <c r="AA1018" s="1635"/>
      <c r="AB1018" s="1635"/>
      <c r="AC1018" s="1635"/>
      <c r="AD1018" s="1635"/>
      <c r="AE1018" s="1636"/>
      <c r="AF1018" s="1773"/>
      <c r="AG1018" s="1774"/>
      <c r="AH1018" s="1774"/>
      <c r="AI1018" s="1775"/>
      <c r="AJ1018" s="1662"/>
      <c r="AK1018" s="1663"/>
      <c r="AL1018" s="1663"/>
      <c r="AM1018" s="1663"/>
      <c r="AN1018" s="1663"/>
      <c r="AO1018" s="1663"/>
      <c r="AP1018" s="1663"/>
      <c r="AQ1018" s="1664"/>
      <c r="AR1018" s="1059"/>
      <c r="AS1018" s="1059"/>
      <c r="AT1018" s="1059"/>
      <c r="AU1018" s="1059"/>
      <c r="AV1018" s="1059"/>
      <c r="AW1018" s="1059"/>
      <c r="AX1018" s="1059"/>
      <c r="AY1018" s="1073">
        <f>IF(A1085="Yes",0.04,0)</f>
        <v>0</v>
      </c>
    </row>
    <row r="1019" spans="1:51" ht="13" customHeight="1">
      <c r="A1019" s="11"/>
      <c r="B1019" s="1074"/>
      <c r="C1019" s="1067"/>
      <c r="D1019" s="1677"/>
      <c r="E1019" s="1678"/>
      <c r="F1019" s="1678"/>
      <c r="G1019" s="1678"/>
      <c r="H1019" s="1678"/>
      <c r="I1019" s="1678"/>
      <c r="J1019" s="1678"/>
      <c r="K1019" s="1678"/>
      <c r="L1019" s="1678"/>
      <c r="M1019" s="1678"/>
      <c r="N1019" s="1678"/>
      <c r="O1019" s="1678"/>
      <c r="P1019" s="1678"/>
      <c r="Q1019" s="1678"/>
      <c r="R1019" s="1678"/>
      <c r="S1019" s="1678"/>
      <c r="T1019" s="1678"/>
      <c r="U1019" s="1678"/>
      <c r="V1019" s="1678"/>
      <c r="W1019" s="1678"/>
      <c r="X1019" s="1678"/>
      <c r="Y1019" s="1678"/>
      <c r="Z1019" s="1678"/>
      <c r="AA1019" s="1678"/>
      <c r="AB1019" s="1678"/>
      <c r="AC1019" s="1678"/>
      <c r="AD1019" s="1678"/>
      <c r="AE1019" s="1679"/>
      <c r="AF1019" s="1776"/>
      <c r="AG1019" s="1777"/>
      <c r="AH1019" s="1777"/>
      <c r="AI1019" s="1778"/>
      <c r="AJ1019" s="1665"/>
      <c r="AK1019" s="1666"/>
      <c r="AL1019" s="1666"/>
      <c r="AM1019" s="1666"/>
      <c r="AN1019" s="1666"/>
      <c r="AO1019" s="1666"/>
      <c r="AP1019" s="1666"/>
      <c r="AQ1019" s="1667"/>
      <c r="AR1019" s="1059"/>
      <c r="AS1019" s="1059"/>
      <c r="AT1019" s="1059"/>
      <c r="AU1019" s="1059"/>
      <c r="AV1019" s="1059"/>
      <c r="AW1019" s="1059"/>
      <c r="AX1019" s="1059"/>
      <c r="AY1019" s="1073">
        <f>IF(A1089="Yes",0.01,0)</f>
        <v>0</v>
      </c>
    </row>
    <row r="1020" spans="1:51" ht="13" customHeight="1">
      <c r="A1020" s="11"/>
      <c r="B1020" s="47"/>
      <c r="C1020" s="214" t="s">
        <v>1683</v>
      </c>
      <c r="D1020" s="1744" t="s">
        <v>1684</v>
      </c>
      <c r="E1020" s="1745"/>
      <c r="F1020" s="1745"/>
      <c r="G1020" s="1745"/>
      <c r="H1020" s="1745"/>
      <c r="I1020" s="1745"/>
      <c r="J1020" s="1745"/>
      <c r="K1020" s="1745"/>
      <c r="L1020" s="1745"/>
      <c r="M1020" s="1745"/>
      <c r="N1020" s="1745"/>
      <c r="O1020" s="1745"/>
      <c r="P1020" s="1745"/>
      <c r="Q1020" s="1745"/>
      <c r="R1020" s="1745"/>
      <c r="S1020" s="1745"/>
      <c r="T1020" s="1745"/>
      <c r="U1020" s="1745"/>
      <c r="V1020" s="1745"/>
      <c r="W1020" s="1745"/>
      <c r="X1020" s="1745"/>
      <c r="Y1020" s="1745"/>
      <c r="Z1020" s="1745"/>
      <c r="AA1020" s="1745"/>
      <c r="AB1020" s="1745"/>
      <c r="AC1020" s="1745"/>
      <c r="AD1020" s="1745"/>
      <c r="AE1020" s="1746"/>
      <c r="AF1020" s="47"/>
      <c r="AG1020" s="1685" t="s">
        <v>694</v>
      </c>
      <c r="AH1020" s="1686"/>
      <c r="AI1020" s="50"/>
      <c r="AJ1020" s="1659">
        <f>ROUND(IF(AND(AG1020="Yes",J1024&lt;&gt;"N/A",AF1023&lt;&gt;""),MIN(AF1023,(0.15*AJ992)),0),0)</f>
        <v>0</v>
      </c>
      <c r="AK1020" s="1660"/>
      <c r="AL1020" s="1660"/>
      <c r="AM1020" s="1660"/>
      <c r="AN1020" s="1660"/>
      <c r="AO1020" s="1660"/>
      <c r="AP1020" s="1660"/>
      <c r="AQ1020" s="1661"/>
      <c r="AR1020" s="1059"/>
      <c r="AS1020" s="1059"/>
      <c r="AT1020" s="1059"/>
      <c r="AU1020" s="1059"/>
      <c r="AV1020" s="1059"/>
      <c r="AW1020" s="1059"/>
      <c r="AX1020" s="1059"/>
      <c r="AY1020" s="1073">
        <f>IF(A1094="Yes",0.01,0)</f>
        <v>0</v>
      </c>
    </row>
    <row r="1021" spans="1:51" ht="13" customHeight="1">
      <c r="A1021" s="11"/>
      <c r="B1021" s="1074"/>
      <c r="C1021" s="1075"/>
      <c r="D1021" s="1747"/>
      <c r="E1021" s="1748"/>
      <c r="F1021" s="1748"/>
      <c r="G1021" s="1748"/>
      <c r="H1021" s="1748"/>
      <c r="I1021" s="1748"/>
      <c r="J1021" s="1748"/>
      <c r="K1021" s="1748"/>
      <c r="L1021" s="1748"/>
      <c r="M1021" s="1748"/>
      <c r="N1021" s="1748"/>
      <c r="O1021" s="1748"/>
      <c r="P1021" s="1748"/>
      <c r="Q1021" s="1748"/>
      <c r="R1021" s="1748"/>
      <c r="S1021" s="1748"/>
      <c r="T1021" s="1748"/>
      <c r="U1021" s="1748"/>
      <c r="V1021" s="1748"/>
      <c r="W1021" s="1748"/>
      <c r="X1021" s="1748"/>
      <c r="Y1021" s="1748"/>
      <c r="Z1021" s="1748"/>
      <c r="AA1021" s="1748"/>
      <c r="AB1021" s="1748"/>
      <c r="AC1021" s="1748"/>
      <c r="AD1021" s="1748"/>
      <c r="AE1021" s="1749"/>
      <c r="AF1021" s="1761" t="str">
        <f>IF(AG1020="yes","Please Select Type and Enter Amount:","")</f>
        <v/>
      </c>
      <c r="AG1021" s="1762"/>
      <c r="AH1021" s="1762"/>
      <c r="AI1021" s="1763"/>
      <c r="AJ1021" s="1662"/>
      <c r="AK1021" s="1663"/>
      <c r="AL1021" s="1663"/>
      <c r="AM1021" s="1663"/>
      <c r="AN1021" s="1663"/>
      <c r="AO1021" s="1663"/>
      <c r="AP1021" s="1663"/>
      <c r="AQ1021" s="1664"/>
      <c r="AR1021" s="1059"/>
      <c r="AS1021" s="1059"/>
      <c r="AT1021" s="1059"/>
      <c r="AU1021" s="1059"/>
      <c r="AV1021" s="1059"/>
      <c r="AW1021" s="1059"/>
      <c r="AX1021" s="1059"/>
      <c r="AY1021" s="1073">
        <f>IF(A1097="Yes",0.01,0)</f>
        <v>0</v>
      </c>
    </row>
    <row r="1022" spans="1:51" ht="13" customHeight="1">
      <c r="A1022" s="11"/>
      <c r="B1022" s="1074"/>
      <c r="C1022" s="1075"/>
      <c r="D1022" s="1634" t="s">
        <v>1685</v>
      </c>
      <c r="E1022" s="1635"/>
      <c r="F1022" s="1635"/>
      <c r="G1022" s="1635"/>
      <c r="H1022" s="1635"/>
      <c r="I1022" s="1635"/>
      <c r="J1022" s="1635"/>
      <c r="K1022" s="1635"/>
      <c r="L1022" s="1635"/>
      <c r="M1022" s="1635"/>
      <c r="N1022" s="1635"/>
      <c r="O1022" s="1635"/>
      <c r="P1022" s="1635"/>
      <c r="Q1022" s="1635"/>
      <c r="R1022" s="1635"/>
      <c r="S1022" s="1635"/>
      <c r="T1022" s="1635"/>
      <c r="U1022" s="1635"/>
      <c r="V1022" s="1635"/>
      <c r="W1022" s="1635"/>
      <c r="X1022" s="1635"/>
      <c r="Y1022" s="1635"/>
      <c r="Z1022" s="1635"/>
      <c r="AA1022" s="1635"/>
      <c r="AB1022" s="1635"/>
      <c r="AC1022" s="1635"/>
      <c r="AD1022" s="1635"/>
      <c r="AE1022" s="1636"/>
      <c r="AF1022" s="1761"/>
      <c r="AG1022" s="1762"/>
      <c r="AH1022" s="1762"/>
      <c r="AI1022" s="1763"/>
      <c r="AJ1022" s="1662"/>
      <c r="AK1022" s="1663"/>
      <c r="AL1022" s="1663"/>
      <c r="AM1022" s="1663"/>
      <c r="AN1022" s="1663"/>
      <c r="AO1022" s="1663"/>
      <c r="AP1022" s="1663"/>
      <c r="AQ1022" s="1664"/>
      <c r="AR1022" s="1059"/>
      <c r="AS1022" s="1059"/>
      <c r="AT1022" s="1059"/>
      <c r="AU1022" s="1059"/>
      <c r="AV1022" s="1059"/>
      <c r="AW1022" s="1059"/>
      <c r="AX1022" s="1059"/>
      <c r="AY1022" s="1073">
        <f>IF(A1100="Yes",0.02,0)</f>
        <v>0</v>
      </c>
    </row>
    <row r="1023" spans="1:51" ht="13" customHeight="1">
      <c r="A1023" s="11"/>
      <c r="B1023" s="1074"/>
      <c r="C1023" s="1075"/>
      <c r="D1023" s="1634"/>
      <c r="E1023" s="1635"/>
      <c r="F1023" s="1635"/>
      <c r="G1023" s="1635"/>
      <c r="H1023" s="1635"/>
      <c r="I1023" s="1635"/>
      <c r="J1023" s="1635"/>
      <c r="K1023" s="1635"/>
      <c r="L1023" s="1635"/>
      <c r="M1023" s="1635"/>
      <c r="N1023" s="1635"/>
      <c r="O1023" s="1635"/>
      <c r="P1023" s="1635"/>
      <c r="Q1023" s="1635"/>
      <c r="R1023" s="1635"/>
      <c r="S1023" s="1635"/>
      <c r="T1023" s="1635"/>
      <c r="U1023" s="1635"/>
      <c r="V1023" s="1635"/>
      <c r="W1023" s="1635"/>
      <c r="X1023" s="1635"/>
      <c r="Y1023" s="1635"/>
      <c r="Z1023" s="1635"/>
      <c r="AA1023" s="1635"/>
      <c r="AB1023" s="1635"/>
      <c r="AC1023" s="1635"/>
      <c r="AD1023" s="1635"/>
      <c r="AE1023" s="1636"/>
      <c r="AF1023" s="1708"/>
      <c r="AG1023" s="1708"/>
      <c r="AH1023" s="1708"/>
      <c r="AI1023" s="1708"/>
      <c r="AJ1023" s="1662"/>
      <c r="AK1023" s="1663"/>
      <c r="AL1023" s="1663"/>
      <c r="AM1023" s="1663"/>
      <c r="AN1023" s="1663"/>
      <c r="AO1023" s="1663"/>
      <c r="AP1023" s="1663"/>
      <c r="AQ1023" s="1664"/>
      <c r="AR1023" s="1059"/>
      <c r="AS1023" s="1059"/>
      <c r="AT1023" s="1059"/>
      <c r="AU1023" s="1059"/>
      <c r="AV1023" s="1059"/>
      <c r="AW1023" s="1059"/>
      <c r="AX1023" s="1059"/>
      <c r="AY1023" s="683">
        <f>IF(A1103="Yes",0.02,0)</f>
        <v>0</v>
      </c>
    </row>
    <row r="1024" spans="1:51" ht="13" customHeight="1">
      <c r="A1024" s="11"/>
      <c r="B1024" s="1074"/>
      <c r="C1024" s="1075"/>
      <c r="D1024" s="375" t="s">
        <v>1686</v>
      </c>
      <c r="E1024" s="51"/>
      <c r="F1024" s="51"/>
      <c r="G1024" s="708"/>
      <c r="H1024" s="708"/>
      <c r="I1024" s="33"/>
      <c r="J1024" s="1753" t="s">
        <v>798</v>
      </c>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1708"/>
      <c r="AG1024" s="1708"/>
      <c r="AH1024" s="1708"/>
      <c r="AI1024" s="1708"/>
      <c r="AJ1024" s="1665"/>
      <c r="AK1024" s="1666"/>
      <c r="AL1024" s="1666"/>
      <c r="AM1024" s="1666"/>
      <c r="AN1024" s="1666"/>
      <c r="AO1024" s="1666"/>
      <c r="AP1024" s="1666"/>
      <c r="AQ1024" s="1667"/>
      <c r="AR1024" s="1059"/>
      <c r="AS1024" s="1059"/>
      <c r="AT1024" s="1059"/>
      <c r="AU1024" s="1059"/>
      <c r="AV1024" s="1059"/>
      <c r="AW1024" s="1059"/>
      <c r="AX1024" s="1059"/>
      <c r="AY1024" s="1059"/>
    </row>
    <row r="1025" spans="1:57" ht="13" customHeight="1">
      <c r="A1025" s="11"/>
      <c r="B1025" s="47"/>
      <c r="C1025" s="214" t="s">
        <v>1687</v>
      </c>
      <c r="D1025" s="1699" t="s">
        <v>1688</v>
      </c>
      <c r="E1025" s="1700"/>
      <c r="F1025" s="1700"/>
      <c r="G1025" s="1700"/>
      <c r="H1025" s="1700"/>
      <c r="I1025" s="1700"/>
      <c r="J1025" s="1700"/>
      <c r="K1025" s="1700"/>
      <c r="L1025" s="1700"/>
      <c r="M1025" s="1700"/>
      <c r="N1025" s="1700"/>
      <c r="O1025" s="1700"/>
      <c r="P1025" s="1700"/>
      <c r="Q1025" s="1700"/>
      <c r="R1025" s="1700"/>
      <c r="S1025" s="1700"/>
      <c r="T1025" s="1700"/>
      <c r="U1025" s="1700"/>
      <c r="V1025" s="1700"/>
      <c r="W1025" s="1700"/>
      <c r="X1025" s="1700"/>
      <c r="Y1025" s="1700"/>
      <c r="Z1025" s="1700"/>
      <c r="AA1025" s="1700"/>
      <c r="AB1025" s="1700"/>
      <c r="AC1025" s="1700"/>
      <c r="AD1025" s="1700"/>
      <c r="AE1025" s="1701"/>
      <c r="AF1025" s="47"/>
      <c r="AG1025" s="1685" t="s">
        <v>847</v>
      </c>
      <c r="AH1025" s="1686"/>
      <c r="AI1025" s="50"/>
      <c r="AJ1025" s="1659">
        <f>ROUND(IF(AG1025="Yes",AF1027,0),0)</f>
        <v>2090568</v>
      </c>
      <c r="AK1025" s="1660"/>
      <c r="AL1025" s="1660"/>
      <c r="AM1025" s="1660"/>
      <c r="AN1025" s="1660"/>
      <c r="AO1025" s="1660"/>
      <c r="AP1025" s="1660"/>
      <c r="AQ1025" s="1661"/>
      <c r="AR1025" s="1059"/>
      <c r="AS1025" s="1059"/>
      <c r="AT1025" s="1059"/>
      <c r="AU1025" s="1059"/>
      <c r="AV1025" s="1059"/>
      <c r="AW1025" s="1059"/>
      <c r="AX1025" s="1059"/>
      <c r="AY1025" s="1059"/>
    </row>
    <row r="1026" spans="1:57" ht="13" customHeight="1">
      <c r="A1026" s="11"/>
      <c r="B1026" s="44"/>
      <c r="C1026" s="1070"/>
      <c r="D1026" s="1634" t="s">
        <v>1689</v>
      </c>
      <c r="E1026" s="1635"/>
      <c r="F1026" s="1635"/>
      <c r="G1026" s="1635"/>
      <c r="H1026" s="1635"/>
      <c r="I1026" s="1635"/>
      <c r="J1026" s="1635"/>
      <c r="K1026" s="1635"/>
      <c r="L1026" s="1635"/>
      <c r="M1026" s="1635"/>
      <c r="N1026" s="1635"/>
      <c r="O1026" s="1635"/>
      <c r="P1026" s="1635"/>
      <c r="Q1026" s="1635"/>
      <c r="R1026" s="1635"/>
      <c r="S1026" s="1635"/>
      <c r="T1026" s="1635"/>
      <c r="U1026" s="1635"/>
      <c r="V1026" s="1635"/>
      <c r="W1026" s="1635"/>
      <c r="X1026" s="1635"/>
      <c r="Y1026" s="1635"/>
      <c r="Z1026" s="1635"/>
      <c r="AA1026" s="1635"/>
      <c r="AB1026" s="1635"/>
      <c r="AC1026" s="1635"/>
      <c r="AD1026" s="1635"/>
      <c r="AE1026" s="1636"/>
      <c r="AF1026" s="1750" t="str">
        <f>IF(AG1025="yes","Enter Amount:","")</f>
        <v>Enter Amount:</v>
      </c>
      <c r="AG1026" s="1751"/>
      <c r="AH1026" s="1751"/>
      <c r="AI1026" s="1752"/>
      <c r="AJ1026" s="1662"/>
      <c r="AK1026" s="1663"/>
      <c r="AL1026" s="1663"/>
      <c r="AM1026" s="1663"/>
      <c r="AN1026" s="1663"/>
      <c r="AO1026" s="1663"/>
      <c r="AP1026" s="1663"/>
      <c r="AQ1026" s="1664"/>
      <c r="AR1026" s="1059"/>
      <c r="AS1026" s="1059"/>
      <c r="AT1026" s="1059"/>
      <c r="AU1026" s="1059"/>
      <c r="AV1026" s="1059"/>
      <c r="AW1026" s="1059"/>
      <c r="AX1026" s="1059"/>
      <c r="AY1026" s="1059"/>
    </row>
    <row r="1027" spans="1:57" ht="13" customHeight="1">
      <c r="A1027" s="11"/>
      <c r="B1027" s="44"/>
      <c r="C1027" s="1070"/>
      <c r="D1027" s="1634"/>
      <c r="E1027" s="1635"/>
      <c r="F1027" s="1635"/>
      <c r="G1027" s="1635"/>
      <c r="H1027" s="1635"/>
      <c r="I1027" s="1635"/>
      <c r="J1027" s="1635"/>
      <c r="K1027" s="1635"/>
      <c r="L1027" s="1635"/>
      <c r="M1027" s="1635"/>
      <c r="N1027" s="1635"/>
      <c r="O1027" s="1635"/>
      <c r="P1027" s="1635"/>
      <c r="Q1027" s="1635"/>
      <c r="R1027" s="1635"/>
      <c r="S1027" s="1635"/>
      <c r="T1027" s="1635"/>
      <c r="U1027" s="1635"/>
      <c r="V1027" s="1635"/>
      <c r="W1027" s="1635"/>
      <c r="X1027" s="1635"/>
      <c r="Y1027" s="1635"/>
      <c r="Z1027" s="1635"/>
      <c r="AA1027" s="1635"/>
      <c r="AB1027" s="1635"/>
      <c r="AC1027" s="1635"/>
      <c r="AD1027" s="1635"/>
      <c r="AE1027" s="1636"/>
      <c r="AF1027" s="1708">
        <v>2090568</v>
      </c>
      <c r="AG1027" s="1708"/>
      <c r="AH1027" s="1708"/>
      <c r="AI1027" s="1708"/>
      <c r="AJ1027" s="1662"/>
      <c r="AK1027" s="1663"/>
      <c r="AL1027" s="1663"/>
      <c r="AM1027" s="1663"/>
      <c r="AN1027" s="1663"/>
      <c r="AO1027" s="1663"/>
      <c r="AP1027" s="1663"/>
      <c r="AQ1027" s="1664"/>
      <c r="AR1027" s="1059"/>
      <c r="AS1027" s="1059"/>
      <c r="AT1027" s="1059"/>
      <c r="AU1027" s="1059"/>
      <c r="AV1027" s="1059"/>
      <c r="AW1027" s="1059"/>
      <c r="AX1027" s="1059"/>
      <c r="AY1027" s="1059" t="str">
        <f>"Select items beginning on row #"&amp;TEXT(ROW(A1061),"#")&amp;" to claim this boost"</f>
        <v>Select items beginning on row #1061 to claim this boost</v>
      </c>
    </row>
    <row r="1028" spans="1:57" ht="13" customHeight="1">
      <c r="A1028" s="11"/>
      <c r="B1028" s="1071"/>
      <c r="C1028" s="1075"/>
      <c r="D1028" s="1677"/>
      <c r="E1028" s="1678"/>
      <c r="F1028" s="1678"/>
      <c r="G1028" s="1678"/>
      <c r="H1028" s="1678"/>
      <c r="I1028" s="1678"/>
      <c r="J1028" s="1678"/>
      <c r="K1028" s="1678"/>
      <c r="L1028" s="1678"/>
      <c r="M1028" s="1678"/>
      <c r="N1028" s="1678"/>
      <c r="O1028" s="1678"/>
      <c r="P1028" s="1678"/>
      <c r="Q1028" s="1678"/>
      <c r="R1028" s="1678"/>
      <c r="S1028" s="1678"/>
      <c r="T1028" s="1678"/>
      <c r="U1028" s="1678"/>
      <c r="V1028" s="1678"/>
      <c r="W1028" s="1678"/>
      <c r="X1028" s="1678"/>
      <c r="Y1028" s="1678"/>
      <c r="Z1028" s="1678"/>
      <c r="AA1028" s="1678"/>
      <c r="AB1028" s="1678"/>
      <c r="AC1028" s="1678"/>
      <c r="AD1028" s="1678"/>
      <c r="AE1028" s="1679"/>
      <c r="AF1028" s="1708"/>
      <c r="AG1028" s="1708"/>
      <c r="AH1028" s="1708"/>
      <c r="AI1028" s="1708"/>
      <c r="AJ1028" s="1665"/>
      <c r="AK1028" s="1666"/>
      <c r="AL1028" s="1666"/>
      <c r="AM1028" s="1666"/>
      <c r="AN1028" s="1666"/>
      <c r="AO1028" s="1666"/>
      <c r="AP1028" s="1666"/>
      <c r="AQ1028" s="1667"/>
      <c r="AR1028" s="1059"/>
      <c r="AS1028" s="1059"/>
      <c r="AT1028" s="1059"/>
      <c r="AU1028" s="1059"/>
      <c r="AV1028" s="1059"/>
      <c r="AW1028" s="1059"/>
      <c r="AX1028" s="1059"/>
      <c r="AY1028" s="1059"/>
    </row>
    <row r="1029" spans="1:57" ht="13" customHeight="1">
      <c r="A1029" s="11"/>
      <c r="B1029" s="47"/>
      <c r="C1029" s="214" t="s">
        <v>1690</v>
      </c>
      <c r="D1029" s="1668" t="s">
        <v>1691</v>
      </c>
      <c r="E1029" s="1669"/>
      <c r="F1029" s="1669"/>
      <c r="G1029" s="1669"/>
      <c r="H1029" s="1669"/>
      <c r="I1029" s="1669"/>
      <c r="J1029" s="1669"/>
      <c r="K1029" s="1669"/>
      <c r="L1029" s="1669"/>
      <c r="M1029" s="1669"/>
      <c r="N1029" s="1669"/>
      <c r="O1029" s="1669"/>
      <c r="P1029" s="1669"/>
      <c r="Q1029" s="1669"/>
      <c r="R1029" s="1669"/>
      <c r="S1029" s="1669"/>
      <c r="T1029" s="1669"/>
      <c r="U1029" s="1669"/>
      <c r="V1029" s="1669"/>
      <c r="W1029" s="1669"/>
      <c r="X1029" s="1669"/>
      <c r="Y1029" s="1669"/>
      <c r="Z1029" s="1669"/>
      <c r="AA1029" s="1669"/>
      <c r="AB1029" s="1669"/>
      <c r="AC1029" s="1669"/>
      <c r="AD1029" s="1669"/>
      <c r="AE1029" s="1670"/>
      <c r="AF1029" s="47"/>
      <c r="AG1029" s="1685" t="s">
        <v>694</v>
      </c>
      <c r="AH1029" s="1686"/>
      <c r="AI1029" s="50"/>
      <c r="AJ1029" s="1659">
        <f>ROUND(IF(AG1029="yes",(AJ992*0.1),0),0)</f>
        <v>0</v>
      </c>
      <c r="AK1029" s="1660"/>
      <c r="AL1029" s="1660"/>
      <c r="AM1029" s="1660"/>
      <c r="AN1029" s="1660"/>
      <c r="AO1029" s="1660"/>
      <c r="AP1029" s="1660"/>
      <c r="AQ1029" s="1661"/>
      <c r="AR1029" s="1059"/>
      <c r="AS1029" s="1059"/>
      <c r="AT1029" s="1059"/>
      <c r="AU1029" s="1059"/>
      <c r="AV1029" s="1059"/>
      <c r="AW1029" s="1059"/>
      <c r="AX1029" s="1059"/>
      <c r="AY1029" s="1059"/>
    </row>
    <row r="1030" spans="1:57" ht="13" customHeight="1">
      <c r="A1030" s="11"/>
      <c r="B1030" s="44"/>
      <c r="C1030" s="1070"/>
      <c r="D1030" s="1634" t="s">
        <v>1692</v>
      </c>
      <c r="E1030" s="1635"/>
      <c r="F1030" s="1635"/>
      <c r="G1030" s="1635"/>
      <c r="H1030" s="1635"/>
      <c r="I1030" s="1635"/>
      <c r="J1030" s="1635"/>
      <c r="K1030" s="1635"/>
      <c r="L1030" s="1635"/>
      <c r="M1030" s="1635"/>
      <c r="N1030" s="1635"/>
      <c r="O1030" s="1635"/>
      <c r="P1030" s="1635"/>
      <c r="Q1030" s="1635"/>
      <c r="R1030" s="1635"/>
      <c r="S1030" s="1635"/>
      <c r="T1030" s="1635"/>
      <c r="U1030" s="1635"/>
      <c r="V1030" s="1635"/>
      <c r="W1030" s="1635"/>
      <c r="X1030" s="1635"/>
      <c r="Y1030" s="1635"/>
      <c r="Z1030" s="1635"/>
      <c r="AA1030" s="1635"/>
      <c r="AB1030" s="1635"/>
      <c r="AC1030" s="1635"/>
      <c r="AD1030" s="1635"/>
      <c r="AE1030" s="1636"/>
      <c r="AF1030" s="44"/>
      <c r="AG1030" s="11"/>
      <c r="AH1030" s="11"/>
      <c r="AI1030" s="48"/>
      <c r="AJ1030" s="1662"/>
      <c r="AK1030" s="1663"/>
      <c r="AL1030" s="1663"/>
      <c r="AM1030" s="1663"/>
      <c r="AN1030" s="1663"/>
      <c r="AO1030" s="1663"/>
      <c r="AP1030" s="1663"/>
      <c r="AQ1030" s="1664"/>
      <c r="AR1030" s="1059"/>
      <c r="AS1030" s="1059"/>
      <c r="AT1030" s="1059"/>
      <c r="AU1030" s="1059"/>
      <c r="AV1030" s="1059"/>
      <c r="AW1030" s="1059"/>
      <c r="AX1030" s="1059"/>
      <c r="AY1030" s="1059"/>
    </row>
    <row r="1031" spans="1:57" ht="13" customHeight="1">
      <c r="A1031" s="11"/>
      <c r="B1031" s="45"/>
      <c r="C1031" s="1070"/>
      <c r="D1031" s="1677"/>
      <c r="E1031" s="1678"/>
      <c r="F1031" s="1678"/>
      <c r="G1031" s="1678"/>
      <c r="H1031" s="1678"/>
      <c r="I1031" s="1678"/>
      <c r="J1031" s="1678"/>
      <c r="K1031" s="1678"/>
      <c r="L1031" s="1678"/>
      <c r="M1031" s="1678"/>
      <c r="N1031" s="1678"/>
      <c r="O1031" s="1678"/>
      <c r="P1031" s="1678"/>
      <c r="Q1031" s="1678"/>
      <c r="R1031" s="1678"/>
      <c r="S1031" s="1678"/>
      <c r="T1031" s="1678"/>
      <c r="U1031" s="1678"/>
      <c r="V1031" s="1678"/>
      <c r="W1031" s="1678"/>
      <c r="X1031" s="1678"/>
      <c r="Y1031" s="1678"/>
      <c r="Z1031" s="1678"/>
      <c r="AA1031" s="1678"/>
      <c r="AB1031" s="1678"/>
      <c r="AC1031" s="1678"/>
      <c r="AD1031" s="1678"/>
      <c r="AE1031" s="1679"/>
      <c r="AF1031" s="44"/>
      <c r="AG1031" s="11"/>
      <c r="AH1031" s="11"/>
      <c r="AI1031" s="48"/>
      <c r="AJ1031" s="1665"/>
      <c r="AK1031" s="1666"/>
      <c r="AL1031" s="1666"/>
      <c r="AM1031" s="1666"/>
      <c r="AN1031" s="1666"/>
      <c r="AO1031" s="1666"/>
      <c r="AP1031" s="1666"/>
      <c r="AQ1031" s="1667"/>
      <c r="AR1031" s="1059"/>
      <c r="AS1031" s="1059"/>
      <c r="AT1031" s="1059"/>
      <c r="AU1031" s="1059"/>
      <c r="AV1031" s="1059"/>
      <c r="AW1031" s="1059"/>
      <c r="AX1031" s="1059"/>
      <c r="AY1031" s="1059"/>
    </row>
    <row r="1032" spans="1:57" ht="13" customHeight="1">
      <c r="A1032" s="11"/>
      <c r="B1032" s="44"/>
      <c r="C1032" s="214" t="s">
        <v>22</v>
      </c>
      <c r="D1032" s="1699" t="s">
        <v>1693</v>
      </c>
      <c r="E1032" s="1700"/>
      <c r="F1032" s="1700"/>
      <c r="G1032" s="1700"/>
      <c r="H1032" s="1700"/>
      <c r="I1032" s="1700"/>
      <c r="J1032" s="1700"/>
      <c r="K1032" s="1700"/>
      <c r="L1032" s="1700"/>
      <c r="M1032" s="1700"/>
      <c r="N1032" s="1700"/>
      <c r="O1032" s="1700"/>
      <c r="P1032" s="1700"/>
      <c r="Q1032" s="1700"/>
      <c r="R1032" s="1700"/>
      <c r="S1032" s="1700"/>
      <c r="T1032" s="1700"/>
      <c r="U1032" s="1700"/>
      <c r="V1032" s="1700"/>
      <c r="W1032" s="1700"/>
      <c r="X1032" s="1700"/>
      <c r="Y1032" s="1700"/>
      <c r="Z1032" s="1700"/>
      <c r="AA1032" s="1700"/>
      <c r="AB1032" s="1700"/>
      <c r="AC1032" s="1700"/>
      <c r="AD1032" s="1700"/>
      <c r="AE1032" s="1701"/>
      <c r="AF1032" s="47"/>
      <c r="AG1032" s="1685" t="s">
        <v>694</v>
      </c>
      <c r="AH1032" s="1686"/>
      <c r="AI1032" s="50"/>
      <c r="AJ1032" s="1659">
        <f>ROUND(IF(AG1032="yes",(AJ992*0.15),0),0)</f>
        <v>0</v>
      </c>
      <c r="AK1032" s="1660"/>
      <c r="AL1032" s="1660"/>
      <c r="AM1032" s="1660"/>
      <c r="AN1032" s="1660"/>
      <c r="AO1032" s="1660"/>
      <c r="AP1032" s="1660"/>
      <c r="AQ1032" s="1661"/>
      <c r="AR1032" s="1059"/>
      <c r="AS1032" s="1059"/>
      <c r="AT1032" s="1059"/>
      <c r="AU1032" s="1059"/>
      <c r="AV1032" s="1059"/>
      <c r="AW1032" s="1059"/>
      <c r="AX1032" s="1059"/>
      <c r="AY1032" s="1059"/>
    </row>
    <row r="1033" spans="1:57" ht="13" customHeight="1">
      <c r="A1033" s="11"/>
      <c r="B1033" s="44"/>
      <c r="C1033" s="1070"/>
      <c r="D1033" s="1734" t="s">
        <v>1694</v>
      </c>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35"/>
      <c r="AF1033" s="721"/>
      <c r="AG1033" s="722"/>
      <c r="AH1033" s="722"/>
      <c r="AI1033" s="723"/>
      <c r="AJ1033" s="1662"/>
      <c r="AK1033" s="1663"/>
      <c r="AL1033" s="1663"/>
      <c r="AM1033" s="1663"/>
      <c r="AN1033" s="1663"/>
      <c r="AO1033" s="1663"/>
      <c r="AP1033" s="1663"/>
      <c r="AQ1033" s="1664"/>
      <c r="AR1033" s="1059"/>
      <c r="AS1033" s="1059"/>
      <c r="AT1033" s="1059"/>
      <c r="AU1033" s="1059"/>
      <c r="AV1033" s="1059"/>
      <c r="AW1033" s="1059"/>
      <c r="AX1033" s="1059"/>
      <c r="AY1033" s="1059"/>
    </row>
    <row r="1034" spans="1:57" ht="13" customHeight="1">
      <c r="A1034" s="11"/>
      <c r="B1034" s="44"/>
      <c r="C1034" s="1070"/>
      <c r="D1034" s="1734"/>
      <c r="E1034" s="1227"/>
      <c r="F1034" s="1227"/>
      <c r="G1034" s="1227"/>
      <c r="H1034" s="1227"/>
      <c r="I1034" s="1227"/>
      <c r="J1034" s="1227"/>
      <c r="K1034" s="1227"/>
      <c r="L1034" s="1227"/>
      <c r="M1034" s="1227"/>
      <c r="N1034" s="1227"/>
      <c r="O1034" s="1227"/>
      <c r="P1034" s="1227"/>
      <c r="Q1034" s="1227"/>
      <c r="R1034" s="1227"/>
      <c r="S1034" s="1227"/>
      <c r="T1034" s="1227"/>
      <c r="U1034" s="1227"/>
      <c r="V1034" s="1227"/>
      <c r="W1034" s="1227"/>
      <c r="X1034" s="1227"/>
      <c r="Y1034" s="1227"/>
      <c r="Z1034" s="1227"/>
      <c r="AA1034" s="1227"/>
      <c r="AB1034" s="1227"/>
      <c r="AC1034" s="1227"/>
      <c r="AD1034" s="1227"/>
      <c r="AE1034" s="1735"/>
      <c r="AF1034" s="721"/>
      <c r="AG1034" s="722"/>
      <c r="AH1034" s="722"/>
      <c r="AI1034" s="723"/>
      <c r="AJ1034" s="1662"/>
      <c r="AK1034" s="1663"/>
      <c r="AL1034" s="1663"/>
      <c r="AM1034" s="1663"/>
      <c r="AN1034" s="1663"/>
      <c r="AO1034" s="1663"/>
      <c r="AP1034" s="1663"/>
      <c r="AQ1034" s="1664"/>
      <c r="AR1034" s="1059"/>
      <c r="AS1034" s="1059"/>
      <c r="AT1034" s="1059"/>
      <c r="AU1034" s="1059"/>
      <c r="AV1034" s="1059"/>
      <c r="AW1034" s="1059"/>
      <c r="AX1034" s="1059"/>
      <c r="AY1034" s="1059"/>
    </row>
    <row r="1035" spans="1:57" ht="13" customHeight="1">
      <c r="A1035" s="11"/>
      <c r="B1035" s="44"/>
      <c r="C1035" s="1070"/>
      <c r="D1035" s="1736"/>
      <c r="E1035" s="1501"/>
      <c r="F1035" s="1501"/>
      <c r="G1035" s="1501"/>
      <c r="H1035" s="1501"/>
      <c r="I1035" s="1501"/>
      <c r="J1035" s="1501"/>
      <c r="K1035" s="1501"/>
      <c r="L1035" s="1501"/>
      <c r="M1035" s="1501"/>
      <c r="N1035" s="1501"/>
      <c r="O1035" s="1501"/>
      <c r="P1035" s="1501"/>
      <c r="Q1035" s="1501"/>
      <c r="R1035" s="1501"/>
      <c r="S1035" s="1501"/>
      <c r="T1035" s="1501"/>
      <c r="U1035" s="1501"/>
      <c r="V1035" s="1501"/>
      <c r="W1035" s="1501"/>
      <c r="X1035" s="1501"/>
      <c r="Y1035" s="1501"/>
      <c r="Z1035" s="1501"/>
      <c r="AA1035" s="1501"/>
      <c r="AB1035" s="1501"/>
      <c r="AC1035" s="1501"/>
      <c r="AD1035" s="1501"/>
      <c r="AE1035" s="1737"/>
      <c r="AF1035" s="724"/>
      <c r="AG1035" s="725"/>
      <c r="AH1035" s="725"/>
      <c r="AI1035" s="726"/>
      <c r="AJ1035" s="1665"/>
      <c r="AK1035" s="1666"/>
      <c r="AL1035" s="1666"/>
      <c r="AM1035" s="1666"/>
      <c r="AN1035" s="1666"/>
      <c r="AO1035" s="1666"/>
      <c r="AP1035" s="1666"/>
      <c r="AQ1035" s="1667"/>
      <c r="AR1035" s="1059"/>
      <c r="AS1035" s="1059"/>
      <c r="AT1035" s="1059"/>
      <c r="AU1035" s="1059"/>
      <c r="AV1035" s="1059"/>
      <c r="AW1035" s="1059"/>
      <c r="AX1035" s="1059"/>
      <c r="AY1035" s="1059"/>
    </row>
    <row r="1036" spans="1:57" ht="13" customHeight="1">
      <c r="A1036" s="11"/>
      <c r="B1036" s="44"/>
      <c r="C1036" s="214" t="s">
        <v>22</v>
      </c>
      <c r="D1036" s="1668" t="s">
        <v>1695</v>
      </c>
      <c r="E1036" s="1669"/>
      <c r="F1036" s="1669"/>
      <c r="G1036" s="1669"/>
      <c r="H1036" s="1669"/>
      <c r="I1036" s="1669"/>
      <c r="J1036" s="1669"/>
      <c r="K1036" s="1669"/>
      <c r="L1036" s="1669"/>
      <c r="M1036" s="1669"/>
      <c r="N1036" s="1669"/>
      <c r="O1036" s="1669"/>
      <c r="P1036" s="1669"/>
      <c r="Q1036" s="1669"/>
      <c r="R1036" s="1669"/>
      <c r="S1036" s="1669"/>
      <c r="T1036" s="1669"/>
      <c r="U1036" s="1669"/>
      <c r="V1036" s="1669"/>
      <c r="W1036" s="1669"/>
      <c r="X1036" s="1669"/>
      <c r="Y1036" s="1669"/>
      <c r="Z1036" s="1669"/>
      <c r="AA1036" s="1669"/>
      <c r="AB1036" s="1669"/>
      <c r="AC1036" s="1669"/>
      <c r="AD1036" s="1669"/>
      <c r="AE1036" s="1670"/>
      <c r="AF1036" s="44"/>
      <c r="AG1036" s="1687" t="s">
        <v>694</v>
      </c>
      <c r="AH1036" s="1688"/>
      <c r="AI1036" s="48"/>
      <c r="AJ1036" s="1659">
        <f>ROUND(IF(AND(AG1036="yes",AJ1032=0),(AJ992*0.1),0),0)</f>
        <v>0</v>
      </c>
      <c r="AK1036" s="1660"/>
      <c r="AL1036" s="1660"/>
      <c r="AM1036" s="1660"/>
      <c r="AN1036" s="1660"/>
      <c r="AO1036" s="1660"/>
      <c r="AP1036" s="1660"/>
      <c r="AQ1036" s="1661"/>
      <c r="AR1036" s="1059"/>
      <c r="AS1036" s="1059"/>
      <c r="AT1036" s="1059"/>
      <c r="AU1036" s="1059"/>
      <c r="AV1036" s="1059"/>
      <c r="AW1036" s="1059"/>
      <c r="AX1036" s="1059"/>
      <c r="AY1036" s="1059"/>
    </row>
    <row r="1037" spans="1:57" ht="13" customHeight="1">
      <c r="A1037" s="11"/>
      <c r="B1037" s="44"/>
      <c r="C1037" s="1070"/>
      <c r="D1037" s="1734" t="s">
        <v>1696</v>
      </c>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35"/>
      <c r="AF1037" s="44"/>
      <c r="AG1037" s="11"/>
      <c r="AH1037" s="11"/>
      <c r="AI1037" s="48"/>
      <c r="AJ1037" s="1662"/>
      <c r="AK1037" s="1663"/>
      <c r="AL1037" s="1663"/>
      <c r="AM1037" s="1663"/>
      <c r="AN1037" s="1663"/>
      <c r="AO1037" s="1663"/>
      <c r="AP1037" s="1663"/>
      <c r="AQ1037" s="1664"/>
      <c r="AR1037" s="1059"/>
      <c r="AS1037" s="1059"/>
      <c r="AT1037" s="1059"/>
      <c r="AU1037" s="1059"/>
      <c r="AV1037" s="1059"/>
      <c r="AW1037" s="1059"/>
      <c r="AX1037" s="1059"/>
      <c r="AY1037" s="1059"/>
    </row>
    <row r="1038" spans="1:57" ht="13" customHeight="1">
      <c r="A1038" s="11"/>
      <c r="B1038" s="44"/>
      <c r="C1038" s="1070"/>
      <c r="D1038" s="1734"/>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35"/>
      <c r="AF1038" s="44"/>
      <c r="AG1038" s="11"/>
      <c r="AH1038" s="11"/>
      <c r="AI1038" s="48"/>
      <c r="AJ1038" s="1662"/>
      <c r="AK1038" s="1663"/>
      <c r="AL1038" s="1663"/>
      <c r="AM1038" s="1663"/>
      <c r="AN1038" s="1663"/>
      <c r="AO1038" s="1663"/>
      <c r="AP1038" s="1663"/>
      <c r="AQ1038" s="1664"/>
      <c r="AR1038" s="1059"/>
      <c r="AS1038" s="1059"/>
      <c r="AT1038" s="1059"/>
      <c r="AU1038" s="1059"/>
      <c r="AV1038" s="1059"/>
      <c r="AW1038" s="1059"/>
      <c r="AX1038" s="1059"/>
      <c r="AY1038" s="1059"/>
      <c r="BA1038" s="964">
        <f>IFERROR(('Sources and Uses Budget'!$C$17+'Sources and Uses Budget'!$C$18+'Sources and Uses Budget'!$C$22)/$AG$437,0)</f>
        <v>0</v>
      </c>
      <c r="BB1038" s="964" t="s">
        <v>1697</v>
      </c>
      <c r="BC1038" s="964"/>
      <c r="BD1038" s="964"/>
      <c r="BE1038" s="964"/>
    </row>
    <row r="1039" spans="1:57" ht="13" customHeight="1">
      <c r="A1039" s="11"/>
      <c r="B1039" s="44"/>
      <c r="C1039" s="1070"/>
      <c r="D1039" s="1734"/>
      <c r="E1039" s="1227"/>
      <c r="F1039" s="1227"/>
      <c r="G1039" s="1227"/>
      <c r="H1039" s="1227"/>
      <c r="I1039" s="1227"/>
      <c r="J1039" s="1227"/>
      <c r="K1039" s="1227"/>
      <c r="L1039" s="1227"/>
      <c r="M1039" s="1227"/>
      <c r="N1039" s="1227"/>
      <c r="O1039" s="1227"/>
      <c r="P1039" s="1227"/>
      <c r="Q1039" s="1227"/>
      <c r="R1039" s="1227"/>
      <c r="S1039" s="1227"/>
      <c r="T1039" s="1227"/>
      <c r="U1039" s="1227"/>
      <c r="V1039" s="1227"/>
      <c r="W1039" s="1227"/>
      <c r="X1039" s="1227"/>
      <c r="Y1039" s="1227"/>
      <c r="Z1039" s="1227"/>
      <c r="AA1039" s="1227"/>
      <c r="AB1039" s="1227"/>
      <c r="AC1039" s="1227"/>
      <c r="AD1039" s="1227"/>
      <c r="AE1039" s="1735"/>
      <c r="AF1039" s="44"/>
      <c r="AG1039" s="11"/>
      <c r="AH1039" s="11"/>
      <c r="AI1039" s="48"/>
      <c r="AJ1039" s="1662"/>
      <c r="AK1039" s="1663"/>
      <c r="AL1039" s="1663"/>
      <c r="AM1039" s="1663"/>
      <c r="AN1039" s="1663"/>
      <c r="AO1039" s="1663"/>
      <c r="AP1039" s="1663"/>
      <c r="AQ1039" s="1664"/>
      <c r="AR1039" s="1059"/>
      <c r="AS1039" s="1059"/>
      <c r="AT1039" s="1059"/>
      <c r="AU1039" s="1059"/>
      <c r="AV1039" s="1059"/>
      <c r="AW1039" s="1059"/>
      <c r="AX1039" s="1059"/>
      <c r="AY1039" s="1059"/>
      <c r="BA1039">
        <f>IFERROR((($CI$753+$CM$753)/$AG$440),0)</f>
        <v>0.48076923076923078</v>
      </c>
      <c r="BB1039" s="2" t="s">
        <v>1698</v>
      </c>
    </row>
    <row r="1040" spans="1:57" ht="13" customHeight="1">
      <c r="A1040" s="11"/>
      <c r="B1040" s="44"/>
      <c r="C1040" s="1070"/>
      <c r="D1040" s="1736"/>
      <c r="E1040" s="1501"/>
      <c r="F1040" s="1501"/>
      <c r="G1040" s="1501"/>
      <c r="H1040" s="1501"/>
      <c r="I1040" s="1501"/>
      <c r="J1040" s="1501"/>
      <c r="K1040" s="1501"/>
      <c r="L1040" s="1501"/>
      <c r="M1040" s="1501"/>
      <c r="N1040" s="1501"/>
      <c r="O1040" s="1501"/>
      <c r="P1040" s="1501"/>
      <c r="Q1040" s="1501"/>
      <c r="R1040" s="1501"/>
      <c r="S1040" s="1501"/>
      <c r="T1040" s="1501"/>
      <c r="U1040" s="1501"/>
      <c r="V1040" s="1501"/>
      <c r="W1040" s="1501"/>
      <c r="X1040" s="1501"/>
      <c r="Y1040" s="1501"/>
      <c r="Z1040" s="1501"/>
      <c r="AA1040" s="1501"/>
      <c r="AB1040" s="1501"/>
      <c r="AC1040" s="1501"/>
      <c r="AD1040" s="1501"/>
      <c r="AE1040" s="1737"/>
      <c r="AF1040" s="44"/>
      <c r="AG1040" s="11"/>
      <c r="AH1040" s="11"/>
      <c r="AI1040" s="48"/>
      <c r="AJ1040" s="1662"/>
      <c r="AK1040" s="1663"/>
      <c r="AL1040" s="1663"/>
      <c r="AM1040" s="1663"/>
      <c r="AN1040" s="1663"/>
      <c r="AO1040" s="1663"/>
      <c r="AP1040" s="1663"/>
      <c r="AQ1040" s="1664"/>
      <c r="AR1040" s="1059"/>
      <c r="AS1040" s="1059"/>
      <c r="AT1040" s="1059"/>
      <c r="AU1040" s="1059"/>
      <c r="AV1040" s="1059"/>
      <c r="AW1040" s="1059"/>
      <c r="AX1040" s="1059"/>
      <c r="AY1040" s="1059"/>
      <c r="BA1040" t="b">
        <f>'Points System'!AJ164="Yes"</f>
        <v>0</v>
      </c>
      <c r="BB1040" s="2" t="s">
        <v>1699</v>
      </c>
    </row>
    <row r="1041" spans="1:56" ht="13" customHeight="1">
      <c r="A1041" s="11"/>
      <c r="B1041" s="47"/>
      <c r="C1041" s="1163" t="s">
        <v>1700</v>
      </c>
      <c r="D1041" s="1699" t="s">
        <v>1701</v>
      </c>
      <c r="E1041" s="1700"/>
      <c r="F1041" s="1700"/>
      <c r="G1041" s="1700"/>
      <c r="H1041" s="1700"/>
      <c r="I1041" s="1700"/>
      <c r="J1041" s="1700"/>
      <c r="K1041" s="1700"/>
      <c r="L1041" s="1700"/>
      <c r="M1041" s="1700"/>
      <c r="N1041" s="1700"/>
      <c r="O1041" s="1700"/>
      <c r="P1041" s="1700"/>
      <c r="Q1041" s="1700"/>
      <c r="R1041" s="1700"/>
      <c r="S1041" s="1700"/>
      <c r="T1041" s="1700"/>
      <c r="U1041" s="1700"/>
      <c r="V1041" s="1700"/>
      <c r="W1041" s="1700"/>
      <c r="X1041" s="1700"/>
      <c r="Y1041" s="1700"/>
      <c r="Z1041" s="1700"/>
      <c r="AA1041" s="1700"/>
      <c r="AB1041" s="1700"/>
      <c r="AC1041" s="1700"/>
      <c r="AD1041" s="1700"/>
      <c r="AE1041" s="1701"/>
      <c r="AF1041" s="47"/>
      <c r="AG1041" s="1685" t="s">
        <v>694</v>
      </c>
      <c r="AH1041" s="1686"/>
      <c r="AI1041" s="50"/>
      <c r="AJ1041" s="1659">
        <f>ROUND(IF(AG1041="yes",(AJ992*0.1),0),0)</f>
        <v>0</v>
      </c>
      <c r="AK1041" s="1660"/>
      <c r="AL1041" s="1660"/>
      <c r="AM1041" s="1660"/>
      <c r="AN1041" s="1660"/>
      <c r="AO1041" s="1660"/>
      <c r="AP1041" s="1660"/>
      <c r="AQ1041" s="1661"/>
      <c r="AR1041" s="1059"/>
      <c r="AS1041" s="1059"/>
      <c r="AT1041" s="1059"/>
      <c r="AU1041" s="1059"/>
      <c r="AV1041" s="1059"/>
      <c r="AW1041" s="1059"/>
      <c r="AX1041" s="1059"/>
      <c r="AY1041" s="1059"/>
      <c r="BA1041">
        <f>Q212</f>
        <v>0</v>
      </c>
      <c r="BB1041" s="2" t="s">
        <v>1702</v>
      </c>
    </row>
    <row r="1042" spans="1:56" ht="13" customHeight="1">
      <c r="A1042" s="11"/>
      <c r="B1042" s="44"/>
      <c r="C1042" s="1070"/>
      <c r="D1042" s="1634" t="s">
        <v>1703</v>
      </c>
      <c r="E1042" s="1635"/>
      <c r="F1042" s="1635"/>
      <c r="G1042" s="1635"/>
      <c r="H1042" s="1635"/>
      <c r="I1042" s="1635"/>
      <c r="J1042" s="1635"/>
      <c r="K1042" s="1635"/>
      <c r="L1042" s="1635"/>
      <c r="M1042" s="1635"/>
      <c r="N1042" s="1635"/>
      <c r="O1042" s="1635"/>
      <c r="P1042" s="1635"/>
      <c r="Q1042" s="1635"/>
      <c r="R1042" s="1635"/>
      <c r="S1042" s="1635"/>
      <c r="T1042" s="1635"/>
      <c r="U1042" s="1635"/>
      <c r="V1042" s="1635"/>
      <c r="W1042" s="1635"/>
      <c r="X1042" s="1635"/>
      <c r="Y1042" s="1635"/>
      <c r="Z1042" s="1635"/>
      <c r="AA1042" s="1635"/>
      <c r="AB1042" s="1635"/>
      <c r="AC1042" s="1635"/>
      <c r="AD1042" s="1635"/>
      <c r="AE1042" s="1636"/>
      <c r="AF1042" s="44"/>
      <c r="AG1042" s="11"/>
      <c r="AH1042" s="11"/>
      <c r="AI1042" s="48"/>
      <c r="AJ1042" s="1662"/>
      <c r="AK1042" s="1663"/>
      <c r="AL1042" s="1663"/>
      <c r="AM1042" s="1663"/>
      <c r="AN1042" s="1663"/>
      <c r="AO1042" s="1663"/>
      <c r="AP1042" s="1663"/>
      <c r="AQ1042" s="1664"/>
      <c r="AR1042" s="1059"/>
      <c r="AS1042" s="1059"/>
      <c r="AT1042" s="1059"/>
      <c r="AU1042" s="1059"/>
      <c r="AV1042" s="1059"/>
      <c r="AW1042" s="1059"/>
      <c r="AX1042" s="1059"/>
      <c r="AY1042" s="1059"/>
      <c r="BA1042" s="965">
        <f>T212</f>
        <v>0</v>
      </c>
      <c r="BB1042" s="2" t="s">
        <v>1704</v>
      </c>
    </row>
    <row r="1043" spans="1:56" ht="13" customHeight="1">
      <c r="A1043" s="11"/>
      <c r="B1043" s="44"/>
      <c r="C1043" s="1070"/>
      <c r="D1043" s="1634"/>
      <c r="E1043" s="1635"/>
      <c r="F1043" s="1635"/>
      <c r="G1043" s="1635"/>
      <c r="H1043" s="1635"/>
      <c r="I1043" s="1635"/>
      <c r="J1043" s="1635"/>
      <c r="K1043" s="1635"/>
      <c r="L1043" s="1635"/>
      <c r="M1043" s="1635"/>
      <c r="N1043" s="1635"/>
      <c r="O1043" s="1635"/>
      <c r="P1043" s="1635"/>
      <c r="Q1043" s="1635"/>
      <c r="R1043" s="1635"/>
      <c r="S1043" s="1635"/>
      <c r="T1043" s="1635"/>
      <c r="U1043" s="1635"/>
      <c r="V1043" s="1635"/>
      <c r="W1043" s="1635"/>
      <c r="X1043" s="1635"/>
      <c r="Y1043" s="1635"/>
      <c r="Z1043" s="1635"/>
      <c r="AA1043" s="1635"/>
      <c r="AB1043" s="1635"/>
      <c r="AC1043" s="1635"/>
      <c r="AD1043" s="1635"/>
      <c r="AE1043" s="1636"/>
      <c r="AF1043" s="44"/>
      <c r="AG1043" s="11"/>
      <c r="AH1043" s="11"/>
      <c r="AI1043" s="48"/>
      <c r="AJ1043" s="1662"/>
      <c r="AK1043" s="1663"/>
      <c r="AL1043" s="1663"/>
      <c r="AM1043" s="1663"/>
      <c r="AN1043" s="1663"/>
      <c r="AO1043" s="1663"/>
      <c r="AP1043" s="1663"/>
      <c r="AQ1043" s="1664"/>
      <c r="AR1043" s="1059"/>
      <c r="AS1043" s="1059"/>
      <c r="AT1043" s="1059"/>
      <c r="AU1043" s="1059"/>
      <c r="AV1043" s="1059"/>
      <c r="AW1043" s="1059"/>
      <c r="AX1043" s="1059"/>
      <c r="AY1043" s="1059"/>
    </row>
    <row r="1044" spans="1:56" ht="13" customHeight="1">
      <c r="A1044" s="11"/>
      <c r="B1044" s="44"/>
      <c r="C1044" s="1070"/>
      <c r="D1044" s="1677"/>
      <c r="E1044" s="1678"/>
      <c r="F1044" s="1678"/>
      <c r="G1044" s="1678"/>
      <c r="H1044" s="1678"/>
      <c r="I1044" s="1678"/>
      <c r="J1044" s="1678"/>
      <c r="K1044" s="1678"/>
      <c r="L1044" s="1678"/>
      <c r="M1044" s="1678"/>
      <c r="N1044" s="1678"/>
      <c r="O1044" s="1678"/>
      <c r="P1044" s="1678"/>
      <c r="Q1044" s="1678"/>
      <c r="R1044" s="1678"/>
      <c r="S1044" s="1678"/>
      <c r="T1044" s="1678"/>
      <c r="U1044" s="1678"/>
      <c r="V1044" s="1678"/>
      <c r="W1044" s="1678"/>
      <c r="X1044" s="1678"/>
      <c r="Y1044" s="1678"/>
      <c r="Z1044" s="1678"/>
      <c r="AA1044" s="1678"/>
      <c r="AB1044" s="1678"/>
      <c r="AC1044" s="1678"/>
      <c r="AD1044" s="1678"/>
      <c r="AE1044" s="1679"/>
      <c r="AF1044" s="44"/>
      <c r="AG1044" s="11"/>
      <c r="AH1044" s="11"/>
      <c r="AI1044" s="48"/>
      <c r="AJ1044" s="1665"/>
      <c r="AK1044" s="1666"/>
      <c r="AL1044" s="1666"/>
      <c r="AM1044" s="1666"/>
      <c r="AN1044" s="1666"/>
      <c r="AO1044" s="1666"/>
      <c r="AP1044" s="1666"/>
      <c r="AQ1044" s="1667"/>
      <c r="AR1044" s="1059"/>
      <c r="AS1044" s="1059"/>
      <c r="AT1044" s="1059"/>
      <c r="AU1044" s="1059"/>
      <c r="AV1044" s="1059"/>
      <c r="AW1044" s="1059"/>
      <c r="AX1044" s="1059"/>
      <c r="AY1044" s="1059"/>
    </row>
    <row r="1045" spans="1:56" ht="13" customHeight="1">
      <c r="A1045" s="11"/>
      <c r="B1045" s="47"/>
      <c r="C1045" s="1163" t="s">
        <v>1705</v>
      </c>
      <c r="D1045" s="1668" t="s">
        <v>1706</v>
      </c>
      <c r="E1045" s="1669"/>
      <c r="F1045" s="1669"/>
      <c r="G1045" s="1669"/>
      <c r="H1045" s="1669"/>
      <c r="I1045" s="1669"/>
      <c r="J1045" s="1669"/>
      <c r="K1045" s="1669"/>
      <c r="L1045" s="1669"/>
      <c r="M1045" s="1669"/>
      <c r="N1045" s="1669"/>
      <c r="O1045" s="1669"/>
      <c r="P1045" s="1669"/>
      <c r="Q1045" s="1669"/>
      <c r="R1045" s="1669"/>
      <c r="S1045" s="1669"/>
      <c r="T1045" s="1669"/>
      <c r="U1045" s="1669"/>
      <c r="V1045" s="1669"/>
      <c r="W1045" s="1669"/>
      <c r="X1045" s="1669"/>
      <c r="Y1045" s="1669"/>
      <c r="Z1045" s="1669"/>
      <c r="AA1045" s="1669"/>
      <c r="AB1045" s="1669"/>
      <c r="AC1045" s="1669"/>
      <c r="AD1045" s="1669"/>
      <c r="AE1045" s="1670"/>
      <c r="AF1045" s="47"/>
      <c r="AG1045" s="1683" t="str">
        <f>IF(X1048&gt;0,"Yes","No")</f>
        <v>No</v>
      </c>
      <c r="AH1045" s="1684"/>
      <c r="AI1045" s="50"/>
      <c r="AJ1045" s="1659">
        <f>IF((X1048=0),0,AY1005*AJ992)</f>
        <v>0</v>
      </c>
      <c r="AK1045" s="1660"/>
      <c r="AL1045" s="1660"/>
      <c r="AM1045" s="1660"/>
      <c r="AN1045" s="1660"/>
      <c r="AO1045" s="1660"/>
      <c r="AP1045" s="1660"/>
      <c r="AQ1045" s="1661"/>
      <c r="AR1045" s="1059"/>
      <c r="AS1045" s="1059"/>
      <c r="AT1045" s="1059"/>
      <c r="AU1045" s="1059"/>
      <c r="AV1045" s="1059"/>
      <c r="AW1045" s="1059"/>
      <c r="AX1045" s="1059"/>
      <c r="AY1045" s="1059"/>
      <c r="AZ1045" s="96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1707</v>
      </c>
      <c r="BB1045" s="2"/>
      <c r="BC1045" s="2"/>
      <c r="BD1045" s="2"/>
    </row>
    <row r="1046" spans="1:56" ht="13" customHeight="1">
      <c r="A1046" s="11"/>
      <c r="B1046" s="44"/>
      <c r="C1046" s="308"/>
      <c r="D1046" s="1634" t="s">
        <v>1708</v>
      </c>
      <c r="E1046" s="1635"/>
      <c r="F1046" s="1635"/>
      <c r="G1046" s="1635"/>
      <c r="H1046" s="1635"/>
      <c r="I1046" s="1635"/>
      <c r="J1046" s="1635"/>
      <c r="K1046" s="1635"/>
      <c r="L1046" s="1635"/>
      <c r="M1046" s="1635"/>
      <c r="N1046" s="1635"/>
      <c r="O1046" s="1635"/>
      <c r="P1046" s="1635"/>
      <c r="Q1046" s="1635"/>
      <c r="R1046" s="1635"/>
      <c r="S1046" s="1635"/>
      <c r="T1046" s="1635"/>
      <c r="U1046" s="1635"/>
      <c r="V1046" s="1635"/>
      <c r="W1046" s="1635"/>
      <c r="X1046" s="1635"/>
      <c r="Y1046" s="1635"/>
      <c r="Z1046" s="1635"/>
      <c r="AA1046" s="1635"/>
      <c r="AB1046" s="1635"/>
      <c r="AC1046" s="1635"/>
      <c r="AD1046" s="1635"/>
      <c r="AE1046" s="1636"/>
      <c r="AF1046" s="44"/>
      <c r="AG1046" s="1076"/>
      <c r="AH1046" s="1076"/>
      <c r="AI1046" s="48"/>
      <c r="AJ1046" s="1662"/>
      <c r="AK1046" s="1663"/>
      <c r="AL1046" s="1663"/>
      <c r="AM1046" s="1663"/>
      <c r="AN1046" s="1663"/>
      <c r="AO1046" s="1663"/>
      <c r="AP1046" s="1663"/>
      <c r="AQ1046" s="1664"/>
      <c r="AR1046" s="1059"/>
      <c r="AS1046" s="1059"/>
      <c r="AT1046" s="1059"/>
      <c r="AU1046" s="1149"/>
      <c r="AV1046" s="1059"/>
      <c r="AW1046" s="1059"/>
      <c r="AX1046" s="1059"/>
      <c r="AY1046" s="1059"/>
      <c r="AZ1046" s="763">
        <f>'Sources and Uses Budget'!S97*BA1046</f>
        <v>5257658.0999999996</v>
      </c>
      <c r="BA1046" s="963">
        <f>IF(BA1040,20%,15%)</f>
        <v>0.15</v>
      </c>
      <c r="BB1046" s="2" t="s">
        <v>1709</v>
      </c>
      <c r="BC1046" s="2" t="s">
        <v>1710</v>
      </c>
      <c r="BD1046" s="2"/>
    </row>
    <row r="1047" spans="1:56" ht="13" customHeight="1">
      <c r="A1047" s="11"/>
      <c r="B1047" s="44"/>
      <c r="C1047" s="308"/>
      <c r="D1047" s="1634"/>
      <c r="E1047" s="1635"/>
      <c r="F1047" s="1635"/>
      <c r="G1047" s="1635"/>
      <c r="H1047" s="1635"/>
      <c r="I1047" s="1635"/>
      <c r="J1047" s="1635"/>
      <c r="K1047" s="1635"/>
      <c r="L1047" s="1635"/>
      <c r="M1047" s="1635"/>
      <c r="N1047" s="1635"/>
      <c r="O1047" s="1635"/>
      <c r="P1047" s="1635"/>
      <c r="Q1047" s="1635"/>
      <c r="R1047" s="1635"/>
      <c r="S1047" s="1635"/>
      <c r="T1047" s="1635"/>
      <c r="U1047" s="1635"/>
      <c r="V1047" s="1635"/>
      <c r="W1047" s="1635"/>
      <c r="X1047" s="1635"/>
      <c r="Y1047" s="1635"/>
      <c r="Z1047" s="1635"/>
      <c r="AA1047" s="1635"/>
      <c r="AB1047" s="1635"/>
      <c r="AC1047" s="1635"/>
      <c r="AD1047" s="1635"/>
      <c r="AE1047" s="1636"/>
      <c r="AF1047" s="44"/>
      <c r="AG1047" s="1076"/>
      <c r="AH1047" s="1076"/>
      <c r="AI1047" s="48"/>
      <c r="AJ1047" s="1662"/>
      <c r="AK1047" s="1663"/>
      <c r="AL1047" s="1663"/>
      <c r="AM1047" s="1663"/>
      <c r="AN1047" s="1663"/>
      <c r="AO1047" s="1663"/>
      <c r="AP1047" s="1663"/>
      <c r="AQ1047" s="1664"/>
      <c r="AR1047" s="1059"/>
      <c r="AS1047" s="1059"/>
      <c r="AT1047" s="1059"/>
      <c r="AU1047" s="1149"/>
      <c r="AV1047" s="1059"/>
      <c r="AW1047" s="1059"/>
      <c r="AX1047" s="1059"/>
      <c r="AY1047" s="1059"/>
      <c r="AZ1047" s="763">
        <f>IF(M356="N/A",0,'Sources and Uses Budget'!T97*BA1047)</f>
        <v>0</v>
      </c>
      <c r="BA1047" s="963">
        <v>0.15</v>
      </c>
      <c r="BB1047" s="2" t="s">
        <v>1709</v>
      </c>
      <c r="BC1047" s="2" t="s">
        <v>1711</v>
      </c>
      <c r="BD1047" s="2"/>
    </row>
    <row r="1048" spans="1:56" ht="13" customHeight="1">
      <c r="A1048" s="11"/>
      <c r="B1048" s="45"/>
      <c r="C1048" s="46"/>
      <c r="D1048" s="76" t="s">
        <v>1712</v>
      </c>
      <c r="E1048" s="5"/>
      <c r="F1048" s="5"/>
      <c r="G1048" s="5"/>
      <c r="H1048" s="5"/>
      <c r="I1048" s="1720">
        <f>AY1003</f>
        <v>52</v>
      </c>
      <c r="J1048" s="1721"/>
      <c r="K1048" s="5"/>
      <c r="L1048" s="5"/>
      <c r="M1048" s="5"/>
      <c r="N1048" s="5"/>
      <c r="O1048" s="5"/>
      <c r="P1048" s="5"/>
      <c r="Q1048" s="5"/>
      <c r="R1048" s="5"/>
      <c r="S1048" s="5"/>
      <c r="T1048" s="5"/>
      <c r="U1048" s="5"/>
      <c r="V1048" s="77" t="s">
        <v>1713</v>
      </c>
      <c r="W1048" s="32"/>
      <c r="X1048" s="1683">
        <f>CI753</f>
        <v>0</v>
      </c>
      <c r="Y1048" s="1684"/>
      <c r="Z1048" s="32"/>
      <c r="AA1048" s="32"/>
      <c r="AB1048" s="32"/>
      <c r="AC1048" s="32"/>
      <c r="AD1048" s="32"/>
      <c r="AE1048" s="33"/>
      <c r="AF1048" s="730"/>
      <c r="AG1048" s="731"/>
      <c r="AH1048" s="731"/>
      <c r="AI1048" s="732"/>
      <c r="AJ1048" s="1665"/>
      <c r="AK1048" s="1666"/>
      <c r="AL1048" s="1666"/>
      <c r="AM1048" s="1666"/>
      <c r="AN1048" s="1666"/>
      <c r="AO1048" s="1666"/>
      <c r="AP1048" s="1666"/>
      <c r="AQ1048" s="1667"/>
      <c r="AR1048" s="1059"/>
      <c r="AS1048" s="1059"/>
      <c r="AT1048" s="1059"/>
      <c r="AU1048" s="11"/>
      <c r="AV1048" s="1059"/>
      <c r="AW1048" s="1059"/>
      <c r="AX1048" s="1059"/>
      <c r="AY1048" s="1059"/>
      <c r="AZ1048" s="763">
        <f>IF(M358="N/A",0,'Sources and Uses Budget'!T97*BA1048)</f>
        <v>0</v>
      </c>
      <c r="BA1048" s="963" cm="1">
        <f t="array" ref="BA1048">_xlfn.IFS(X180="Yes",5%,$BA$1038&gt;50000,15%,BA1039&gt;=30%,15%,TRUE,5%)</f>
        <v>0.15</v>
      </c>
      <c r="BB1048" s="2" t="s">
        <v>1709</v>
      </c>
      <c r="BC1048" s="2" t="s">
        <v>1714</v>
      </c>
      <c r="BD1048" s="2"/>
    </row>
    <row r="1049" spans="1:56" ht="13" customHeight="1">
      <c r="A1049" s="11"/>
      <c r="B1049" s="47"/>
      <c r="C1049" s="1163" t="s">
        <v>1715</v>
      </c>
      <c r="D1049" s="1699" t="s">
        <v>1716</v>
      </c>
      <c r="E1049" s="1700"/>
      <c r="F1049" s="1700"/>
      <c r="G1049" s="1700"/>
      <c r="H1049" s="1700"/>
      <c r="I1049" s="1700"/>
      <c r="J1049" s="1700"/>
      <c r="K1049" s="1700"/>
      <c r="L1049" s="1700"/>
      <c r="M1049" s="1700"/>
      <c r="N1049" s="1700"/>
      <c r="O1049" s="1700"/>
      <c r="P1049" s="1700"/>
      <c r="Q1049" s="1700"/>
      <c r="R1049" s="1700"/>
      <c r="S1049" s="1700"/>
      <c r="T1049" s="1700"/>
      <c r="U1049" s="1700"/>
      <c r="V1049" s="1700"/>
      <c r="W1049" s="1700"/>
      <c r="X1049" s="1700"/>
      <c r="Y1049" s="1700"/>
      <c r="Z1049" s="1700"/>
      <c r="AA1049" s="1700"/>
      <c r="AB1049" s="1700"/>
      <c r="AC1049" s="1700"/>
      <c r="AD1049" s="1700"/>
      <c r="AE1049" s="1701"/>
      <c r="AF1049" s="44"/>
      <c r="AG1049" s="1683" t="str">
        <f>IF(X1052&gt;0,"Yes","No")</f>
        <v>Yes</v>
      </c>
      <c r="AH1049" s="1684"/>
      <c r="AI1049" s="48"/>
      <c r="AJ1049" s="1659">
        <f>IF((X1052=0),0,(2*AY1006)*AJ992)</f>
        <v>27455512.32</v>
      </c>
      <c r="AK1049" s="1660"/>
      <c r="AL1049" s="1660"/>
      <c r="AM1049" s="1660"/>
      <c r="AN1049" s="1660"/>
      <c r="AO1049" s="1660"/>
      <c r="AP1049" s="1660"/>
      <c r="AQ1049" s="1661"/>
      <c r="AR1049" s="1059"/>
      <c r="AS1049" s="1059"/>
      <c r="AT1049" s="1059"/>
      <c r="AU1049" s="11"/>
      <c r="AV1049" s="1059"/>
      <c r="AW1049" s="1059"/>
      <c r="AX1049" s="1059"/>
      <c r="AY1049" s="1059"/>
      <c r="AZ1049" s="763">
        <f>AZ1045*BA1049</f>
        <v>0</v>
      </c>
      <c r="BA1049" s="963">
        <v>0.15</v>
      </c>
      <c r="BB1049" s="2" t="s">
        <v>1709</v>
      </c>
      <c r="BC1049" s="2" t="s">
        <v>1717</v>
      </c>
      <c r="BD1049" s="2"/>
    </row>
    <row r="1050" spans="1:56" ht="13" customHeight="1">
      <c r="A1050" s="11"/>
      <c r="B1050" s="44"/>
      <c r="C1050" s="308"/>
      <c r="D1050" s="1634" t="s">
        <v>1718</v>
      </c>
      <c r="E1050" s="1635"/>
      <c r="F1050" s="1635"/>
      <c r="G1050" s="1635"/>
      <c r="H1050" s="1635"/>
      <c r="I1050" s="1635"/>
      <c r="J1050" s="1635"/>
      <c r="K1050" s="1635"/>
      <c r="L1050" s="1635"/>
      <c r="M1050" s="1635"/>
      <c r="N1050" s="1635"/>
      <c r="O1050" s="1635"/>
      <c r="P1050" s="1635"/>
      <c r="Q1050" s="1635"/>
      <c r="R1050" s="1635"/>
      <c r="S1050" s="1635"/>
      <c r="T1050" s="1635"/>
      <c r="U1050" s="1635"/>
      <c r="V1050" s="1635"/>
      <c r="W1050" s="1635"/>
      <c r="X1050" s="1635"/>
      <c r="Y1050" s="1635"/>
      <c r="Z1050" s="1635"/>
      <c r="AA1050" s="1635"/>
      <c r="AB1050" s="1635"/>
      <c r="AC1050" s="1635"/>
      <c r="AD1050" s="1635"/>
      <c r="AE1050" s="1636"/>
      <c r="AF1050" s="44"/>
      <c r="AG1050" s="1076"/>
      <c r="AH1050" s="1076"/>
      <c r="AI1050" s="48"/>
      <c r="AJ1050" s="1662"/>
      <c r="AK1050" s="1663"/>
      <c r="AL1050" s="1663"/>
      <c r="AM1050" s="1663"/>
      <c r="AN1050" s="1663"/>
      <c r="AO1050" s="1663"/>
      <c r="AP1050" s="1663"/>
      <c r="AQ1050" s="1664"/>
      <c r="AR1050" s="1059"/>
      <c r="AS1050" s="1059"/>
      <c r="AT1050" s="1059"/>
      <c r="AU1050" s="1059"/>
      <c r="AV1050" s="1059"/>
      <c r="AW1050" s="1059"/>
      <c r="AX1050" s="1059"/>
      <c r="AY1050" s="1059"/>
      <c r="AZ1050" s="763"/>
      <c r="BA1050" s="2"/>
      <c r="BB1050" s="2"/>
      <c r="BC1050" s="2"/>
      <c r="BD1050" s="2"/>
    </row>
    <row r="1051" spans="1:56" ht="13" customHeight="1">
      <c r="A1051" s="11"/>
      <c r="B1051" s="44"/>
      <c r="C1051" s="48"/>
      <c r="D1051" s="1634"/>
      <c r="E1051" s="1635"/>
      <c r="F1051" s="1635"/>
      <c r="G1051" s="1635"/>
      <c r="H1051" s="1635"/>
      <c r="I1051" s="1635"/>
      <c r="J1051" s="1635"/>
      <c r="K1051" s="1635"/>
      <c r="L1051" s="1635"/>
      <c r="M1051" s="1635"/>
      <c r="N1051" s="1635"/>
      <c r="O1051" s="1635"/>
      <c r="P1051" s="1635"/>
      <c r="Q1051" s="1635"/>
      <c r="R1051" s="1635"/>
      <c r="S1051" s="1635"/>
      <c r="T1051" s="1635"/>
      <c r="U1051" s="1635"/>
      <c r="V1051" s="1635"/>
      <c r="W1051" s="1635"/>
      <c r="X1051" s="1635"/>
      <c r="Y1051" s="1635"/>
      <c r="Z1051" s="1635"/>
      <c r="AA1051" s="1635"/>
      <c r="AB1051" s="1635"/>
      <c r="AC1051" s="1635"/>
      <c r="AD1051" s="1635"/>
      <c r="AE1051" s="1636"/>
      <c r="AF1051" s="727"/>
      <c r="AG1051" s="728"/>
      <c r="AH1051" s="728"/>
      <c r="AI1051" s="729"/>
      <c r="AJ1051" s="1662"/>
      <c r="AK1051" s="1663"/>
      <c r="AL1051" s="1663"/>
      <c r="AM1051" s="1663"/>
      <c r="AN1051" s="1663"/>
      <c r="AO1051" s="1663"/>
      <c r="AP1051" s="1663"/>
      <c r="AQ1051" s="1664"/>
      <c r="AR1051" s="1059"/>
      <c r="AS1051" s="1059"/>
      <c r="AT1051" s="1059"/>
      <c r="AU1051" s="1059"/>
      <c r="AV1051" s="1059"/>
      <c r="AW1051" s="1059"/>
      <c r="AX1051" s="1059"/>
      <c r="AY1051" s="1059"/>
      <c r="AZ1051" s="763">
        <f>ROUNDDOWN(MIN(SUM(AZ1046,AZ1047,AZ1048,AZ1049),BD1051),0)</f>
        <v>2500000</v>
      </c>
      <c r="BA1051" s="2" t="s">
        <v>1719</v>
      </c>
      <c r="BB1051" s="2"/>
      <c r="BC1051" s="2"/>
      <c r="BD1051" s="2" cm="1">
        <f t="array" ref="BD1051">_xlfn.IFS(BA1040,3000000,AND(BA1041&gt;=25%,BA1042&gt;=15),2800000,TRUE,2500000)</f>
        <v>2500000</v>
      </c>
    </row>
    <row r="1052" spans="1:56" ht="13" customHeight="1">
      <c r="A1052" s="11"/>
      <c r="B1052" s="45"/>
      <c r="C1052" s="46"/>
      <c r="D1052" s="76" t="s">
        <v>1712</v>
      </c>
      <c r="E1052" s="5"/>
      <c r="F1052" s="5"/>
      <c r="G1052" s="5"/>
      <c r="H1052" s="5"/>
      <c r="I1052" s="1720">
        <f>AY1003</f>
        <v>52</v>
      </c>
      <c r="J1052" s="1721"/>
      <c r="K1052" s="11"/>
      <c r="L1052" s="5"/>
      <c r="M1052" s="5"/>
      <c r="N1052" s="5"/>
      <c r="O1052" s="5"/>
      <c r="P1052" s="5"/>
      <c r="Q1052" s="5"/>
      <c r="R1052" s="5"/>
      <c r="S1052" s="5"/>
      <c r="T1052" s="5"/>
      <c r="U1052" s="5"/>
      <c r="V1052" s="77" t="s">
        <v>1720</v>
      </c>
      <c r="X1052" s="1683">
        <f>CM753</f>
        <v>25</v>
      </c>
      <c r="Y1052" s="1684"/>
      <c r="AF1052" s="730"/>
      <c r="AG1052" s="731"/>
      <c r="AH1052" s="731"/>
      <c r="AI1052" s="732"/>
      <c r="AJ1052" s="1665"/>
      <c r="AK1052" s="1666"/>
      <c r="AL1052" s="1666"/>
      <c r="AM1052" s="1666"/>
      <c r="AN1052" s="1666"/>
      <c r="AO1052" s="1666"/>
      <c r="AP1052" s="1666"/>
      <c r="AQ1052" s="1667"/>
      <c r="AR1052" s="1059"/>
      <c r="AS1052" s="1059"/>
      <c r="AT1052" s="1059"/>
      <c r="AU1052" s="1059"/>
      <c r="AV1052" s="1059"/>
      <c r="AW1052" s="1059"/>
      <c r="AX1052" s="1059"/>
      <c r="AY1052" s="1059"/>
      <c r="AZ1052" s="763">
        <f>ROUNDDOWN(MAX(0,BA1052*(SUM(AG1093,AL1093,AZ1045)-BD1052))+BF1052,0)</f>
        <v>0</v>
      </c>
      <c r="BA1052" s="963">
        <f>IF(L1042,7%,5%)</f>
        <v>0.05</v>
      </c>
      <c r="BB1052" s="2" t="s">
        <v>1721</v>
      </c>
      <c r="BC1052" s="2"/>
      <c r="BD1052" s="2">
        <v>6666667</v>
      </c>
    </row>
    <row r="1053" spans="1:56" ht="13" customHeight="1">
      <c r="A1053" s="11"/>
      <c r="B1053" s="61"/>
      <c r="C1053" s="1077"/>
      <c r="D1053" s="1718" t="s">
        <v>1722</v>
      </c>
      <c r="E1053" s="1718"/>
      <c r="F1053" s="1718"/>
      <c r="G1053" s="1718"/>
      <c r="H1053" s="1718"/>
      <c r="I1053" s="1718"/>
      <c r="J1053" s="1718"/>
      <c r="K1053" s="1718"/>
      <c r="L1053" s="1718"/>
      <c r="M1053" s="1718"/>
      <c r="N1053" s="1718"/>
      <c r="O1053" s="1718"/>
      <c r="P1053" s="1718"/>
      <c r="Q1053" s="1718"/>
      <c r="R1053" s="1718"/>
      <c r="S1053" s="1718"/>
      <c r="T1053" s="1718"/>
      <c r="U1053" s="1718"/>
      <c r="V1053" s="1718"/>
      <c r="W1053" s="1718"/>
      <c r="X1053" s="1718"/>
      <c r="Y1053" s="1718"/>
      <c r="Z1053" s="1718"/>
      <c r="AA1053" s="1718"/>
      <c r="AB1053" s="1718"/>
      <c r="AC1053" s="1718"/>
      <c r="AD1053" s="1718"/>
      <c r="AE1053" s="1718"/>
      <c r="AF1053" s="1718"/>
      <c r="AG1053" s="1718"/>
      <c r="AH1053" s="1718"/>
      <c r="AI1053" s="1719"/>
      <c r="AJ1053" s="1731">
        <f>SUM(AJ992:AQ1052)</f>
        <v>63865470.32</v>
      </c>
      <c r="AK1053" s="1732"/>
      <c r="AL1053" s="1732"/>
      <c r="AM1053" s="1732"/>
      <c r="AN1053" s="1732"/>
      <c r="AO1053" s="1732"/>
      <c r="AP1053" s="1732"/>
      <c r="AQ1053" s="1733"/>
      <c r="AR1053" s="1059"/>
      <c r="AS1053" s="1059"/>
      <c r="AT1053" s="1059"/>
      <c r="AU1053" s="1059"/>
      <c r="AV1053" s="1059"/>
      <c r="AW1053" s="1059"/>
      <c r="AX1053" s="1059"/>
      <c r="AY1053" s="1059"/>
      <c r="AZ1053" s="962">
        <v>6000000</v>
      </c>
      <c r="BA1053" s="2" t="s">
        <v>1723</v>
      </c>
      <c r="BB1053" s="2"/>
      <c r="BC1053" s="2"/>
      <c r="BD1053" s="2"/>
    </row>
    <row r="1054" spans="1:56" ht="13" customHeight="1">
      <c r="A1054" s="11"/>
      <c r="B1054" s="11"/>
      <c r="C1054" s="1078"/>
      <c r="D1054" s="1079"/>
      <c r="E1054" s="1079"/>
      <c r="F1054" s="1079"/>
      <c r="G1054" s="1079"/>
      <c r="H1054" s="1079"/>
      <c r="I1054" s="1079"/>
      <c r="J1054" s="1079"/>
      <c r="K1054" s="1079"/>
      <c r="L1054" s="1079"/>
      <c r="M1054" s="1079"/>
      <c r="N1054" s="1079"/>
      <c r="O1054" s="1079"/>
      <c r="P1054" s="1079"/>
      <c r="Q1054" s="1079"/>
      <c r="R1054" s="1079"/>
      <c r="S1054" s="1079"/>
      <c r="T1054" s="1080"/>
      <c r="U1054" s="1080"/>
      <c r="V1054" s="1080"/>
      <c r="W1054" s="1080"/>
      <c r="X1054" s="1080"/>
      <c r="Y1054" s="1080"/>
      <c r="Z1054" s="1080"/>
      <c r="AA1054" s="1080"/>
      <c r="AB1054" s="1080"/>
      <c r="AC1054" s="1080"/>
      <c r="AD1054" s="116"/>
      <c r="AE1054" s="116"/>
      <c r="AF1054" s="116"/>
      <c r="AG1054" s="116"/>
      <c r="AH1054" s="116"/>
      <c r="AI1054" s="116"/>
      <c r="AJ1054" s="116"/>
      <c r="AK1054" s="116"/>
      <c r="AL1054" s="1059"/>
      <c r="AM1054" s="1059"/>
      <c r="AN1054" s="1059"/>
      <c r="AO1054" s="1059"/>
      <c r="AP1054" s="1059"/>
      <c r="AQ1054" s="1059"/>
      <c r="AR1054" s="1059"/>
      <c r="AS1054" s="1059"/>
      <c r="AT1054" s="1059"/>
      <c r="AU1054" s="1059"/>
      <c r="AV1054" s="1059"/>
      <c r="AW1054" s="1059"/>
      <c r="AX1054" s="1059"/>
      <c r="AY1054" s="1059"/>
      <c r="AZ1054" s="2"/>
      <c r="BA1054" s="2"/>
      <c r="BB1054" s="2"/>
      <c r="BC1054" s="2"/>
      <c r="BD1054" s="2"/>
    </row>
    <row r="1055" spans="1:56" ht="13" customHeight="1">
      <c r="A1055" s="11"/>
      <c r="B1055" s="1059"/>
      <c r="C1055" s="1059"/>
      <c r="D1055" s="1059"/>
      <c r="E1055" s="1059"/>
      <c r="F1055" s="1059"/>
      <c r="G1055" s="954" t="s">
        <v>1724</v>
      </c>
      <c r="H1055" s="955"/>
      <c r="I1055" s="955"/>
      <c r="J1055" s="955"/>
      <c r="K1055" s="955"/>
      <c r="L1055" s="955"/>
      <c r="M1055" s="955"/>
      <c r="N1055" s="955"/>
      <c r="O1055" s="955"/>
      <c r="P1055" s="955"/>
      <c r="Q1055" s="955"/>
      <c r="R1055" s="955"/>
      <c r="S1055" s="955"/>
      <c r="T1055" s="955"/>
      <c r="U1055" s="955"/>
      <c r="V1055" s="955"/>
      <c r="W1055" s="955"/>
      <c r="X1055" s="955"/>
      <c r="Y1055" s="955"/>
      <c r="Z1055" s="955"/>
      <c r="AA1055" s="955"/>
      <c r="AB1055" s="955"/>
      <c r="AC1055" s="955"/>
      <c r="AD1055" s="955"/>
      <c r="AE1055" s="955"/>
      <c r="AF1055" s="955"/>
      <c r="AG1055" s="956"/>
      <c r="AH1055" s="956"/>
      <c r="AI1055" s="956"/>
      <c r="AJ1055" s="956"/>
      <c r="AK1055" s="956"/>
      <c r="AL1055" s="956"/>
      <c r="AM1055" s="956"/>
      <c r="AN1055" s="956"/>
      <c r="AO1055" s="1059"/>
      <c r="AP1055" s="1059"/>
      <c r="AQ1055" s="1059"/>
      <c r="AR1055" s="1059"/>
      <c r="AS1055" s="1059"/>
      <c r="AT1055" s="1059"/>
      <c r="AU1055" s="1059"/>
      <c r="AV1055" s="1059"/>
      <c r="AW1055" s="1059"/>
      <c r="AX1055" s="1059"/>
      <c r="AY1055" s="1059"/>
      <c r="AZ1055" s="2"/>
      <c r="BA1055" s="763">
        <f>MIN(MIN(MAX(AZ1051,AZ1052),AZ1053),BA1056)</f>
        <v>2500000</v>
      </c>
      <c r="BB1055" s="2" t="s">
        <v>1725</v>
      </c>
      <c r="BC1055" s="2"/>
      <c r="BD1055" s="2"/>
    </row>
    <row r="1056" spans="1:56" ht="13" customHeight="1">
      <c r="A1056" s="11"/>
      <c r="B1056" s="1059"/>
      <c r="C1056" s="1059"/>
      <c r="D1056" s="1059"/>
      <c r="E1056" s="1059"/>
      <c r="F1056" s="1059"/>
      <c r="G1056" s="957" t="s">
        <v>1726</v>
      </c>
      <c r="H1056" s="958"/>
      <c r="I1056" s="958"/>
      <c r="J1056" s="958"/>
      <c r="K1056" s="958"/>
      <c r="L1056" s="958"/>
      <c r="M1056" s="958"/>
      <c r="N1056" s="958"/>
      <c r="O1056" s="958"/>
      <c r="P1056" s="958"/>
      <c r="Q1056" s="958"/>
      <c r="R1056" s="958"/>
      <c r="S1056" s="958"/>
      <c r="T1056" s="958"/>
      <c r="U1056" s="958"/>
      <c r="V1056" s="958"/>
      <c r="W1056" s="958"/>
      <c r="X1056" s="958"/>
      <c r="Y1056" s="958"/>
      <c r="Z1056" s="958"/>
      <c r="AA1056" s="1301">
        <f>'Sources and Uses Budget'!S107+'Sources and Uses Budget'!T107</f>
        <v>40308711</v>
      </c>
      <c r="AB1056" s="1301"/>
      <c r="AC1056" s="1301"/>
      <c r="AD1056" s="1301"/>
      <c r="AE1056" s="1301"/>
      <c r="AF1056" s="1301"/>
      <c r="AG1056" s="956"/>
      <c r="AH1056" s="956"/>
      <c r="AI1056" s="956"/>
      <c r="AJ1056" s="956"/>
      <c r="AK1056" s="956"/>
      <c r="AL1056" s="956"/>
      <c r="AM1056" s="956"/>
      <c r="AN1056" s="956"/>
      <c r="AO1056" s="1059"/>
      <c r="AP1056" s="1059"/>
      <c r="AQ1056" s="1059"/>
      <c r="AR1056" s="1059"/>
      <c r="AS1056" s="1059"/>
      <c r="AT1056" s="1059"/>
      <c r="AU1056" s="1059"/>
      <c r="AV1056" s="1149"/>
      <c r="AW1056" s="1149"/>
      <c r="AX1056" s="1149"/>
      <c r="AY1056" s="1149"/>
      <c r="AZ1056" s="2"/>
      <c r="BA1056" s="763">
        <f>SUM(AZ1046:AZ1049)</f>
        <v>5257658.0999999996</v>
      </c>
      <c r="BB1056" s="2" t="s">
        <v>1727</v>
      </c>
      <c r="BC1056" s="2"/>
      <c r="BD1056" s="2"/>
    </row>
    <row r="1057" spans="1:54" ht="13" customHeight="1">
      <c r="A1057" s="11"/>
      <c r="B1057" s="1059"/>
      <c r="C1057" s="1059"/>
      <c r="D1057" s="1059"/>
      <c r="E1057" s="1059"/>
      <c r="F1057" s="1059"/>
      <c r="G1057" s="957"/>
      <c r="H1057" s="957" t="s">
        <v>1728</v>
      </c>
      <c r="I1057" s="958"/>
      <c r="J1057" s="958"/>
      <c r="K1057" s="958"/>
      <c r="L1057" s="958"/>
      <c r="M1057" s="958"/>
      <c r="N1057" s="958"/>
      <c r="O1057" s="958"/>
      <c r="P1057" s="958"/>
      <c r="Q1057" s="958"/>
      <c r="R1057" s="958"/>
      <c r="S1057" s="958"/>
      <c r="T1057" s="958"/>
      <c r="U1057" s="958"/>
      <c r="V1057" s="958"/>
      <c r="W1057" s="958"/>
      <c r="X1057" s="958"/>
      <c r="Y1057" s="958"/>
      <c r="Z1057" s="960"/>
      <c r="AA1057" s="1302">
        <f>IFERROR((AA1056-BA1059)/(AJ1053-AJ1045-AJ1049),"")</f>
        <v>1.0313402174207398</v>
      </c>
      <c r="AB1057" s="1303"/>
      <c r="AC1057" s="1303"/>
      <c r="AD1057" s="1303"/>
      <c r="AE1057" s="1303"/>
      <c r="AF1057" s="1304"/>
      <c r="AG1057" s="959"/>
      <c r="AH1057" s="956"/>
      <c r="AI1057" s="956"/>
      <c r="AJ1057" s="956"/>
      <c r="AK1057" s="956"/>
      <c r="AL1057" s="956"/>
      <c r="AM1057" s="956"/>
      <c r="AN1057" s="956"/>
      <c r="AO1057" s="1059"/>
      <c r="AP1057" s="1059"/>
      <c r="AQ1057" s="1059"/>
      <c r="AR1057" s="1059"/>
      <c r="AS1057" s="1059"/>
      <c r="AT1057" s="1059"/>
      <c r="AU1057" s="1059"/>
      <c r="AV1057" s="1149"/>
      <c r="AW1057" s="1149"/>
      <c r="AX1057" s="1149"/>
      <c r="AY1057" s="1149"/>
    </row>
    <row r="1058" spans="1:54" ht="13" customHeight="1">
      <c r="A1058" s="11"/>
      <c r="B1058" s="1059"/>
      <c r="C1058" s="1059"/>
      <c r="D1058" s="1059"/>
      <c r="E1058" s="1059"/>
      <c r="F1058" s="1059"/>
      <c r="G1058" s="130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5"/>
      <c r="I1058" s="1305"/>
      <c r="J1058" s="1305"/>
      <c r="K1058" s="1305"/>
      <c r="L1058" s="1305"/>
      <c r="M1058" s="1305"/>
      <c r="N1058" s="1305"/>
      <c r="O1058" s="1305"/>
      <c r="P1058" s="1305"/>
      <c r="Q1058" s="1305"/>
      <c r="R1058" s="1305"/>
      <c r="S1058" s="1305"/>
      <c r="T1058" s="1305"/>
      <c r="U1058" s="1305"/>
      <c r="V1058" s="1305"/>
      <c r="W1058" s="1305"/>
      <c r="X1058" s="1305"/>
      <c r="Y1058" s="1305"/>
      <c r="Z1058" s="1305"/>
      <c r="AA1058" s="1305"/>
      <c r="AB1058" s="1305"/>
      <c r="AC1058" s="1305"/>
      <c r="AD1058" s="1305"/>
      <c r="AE1058" s="1305"/>
      <c r="AF1058" s="1305"/>
      <c r="AG1058" s="1305"/>
      <c r="AH1058" s="1305"/>
      <c r="AI1058" s="1305"/>
      <c r="AJ1058" s="1305"/>
      <c r="AK1058" s="1305"/>
      <c r="AL1058" s="1305"/>
      <c r="AM1058" s="1305"/>
      <c r="AN1058" s="1305"/>
      <c r="AO1058" s="1059"/>
      <c r="AP1058" s="1059"/>
      <c r="AQ1058" s="1059"/>
      <c r="AR1058" s="1059"/>
      <c r="AS1058" s="1059"/>
      <c r="AT1058" s="1059"/>
      <c r="AU1058" s="1059"/>
      <c r="AV1058" s="11"/>
      <c r="AW1058" s="11"/>
      <c r="AX1058" s="11"/>
      <c r="AY1058" s="11"/>
      <c r="BA1058" s="966">
        <f>'Sources and Uses Budget'!$S$104+'Sources and Uses Budget'!$T$104</f>
        <v>5257657</v>
      </c>
      <c r="BB1058" s="2" t="s">
        <v>1729</v>
      </c>
    </row>
    <row r="1059" spans="1:54" ht="13" customHeight="1">
      <c r="A1059" s="11"/>
      <c r="B1059" s="11"/>
      <c r="C1059" s="1078"/>
      <c r="D1059" s="1081"/>
      <c r="E1059" s="1081"/>
      <c r="F1059" s="1081"/>
      <c r="G1059" s="1305"/>
      <c r="H1059" s="1305"/>
      <c r="I1059" s="1305"/>
      <c r="J1059" s="1305"/>
      <c r="K1059" s="1305"/>
      <c r="L1059" s="1305"/>
      <c r="M1059" s="1305"/>
      <c r="N1059" s="1305"/>
      <c r="O1059" s="1305"/>
      <c r="P1059" s="1305"/>
      <c r="Q1059" s="1305"/>
      <c r="R1059" s="1305"/>
      <c r="S1059" s="1305"/>
      <c r="T1059" s="1305"/>
      <c r="U1059" s="1305"/>
      <c r="V1059" s="1305"/>
      <c r="W1059" s="1305"/>
      <c r="X1059" s="1305"/>
      <c r="Y1059" s="1305"/>
      <c r="Z1059" s="1305"/>
      <c r="AA1059" s="1305"/>
      <c r="AB1059" s="1305"/>
      <c r="AC1059" s="1305"/>
      <c r="AD1059" s="1305"/>
      <c r="AE1059" s="1305"/>
      <c r="AF1059" s="1305"/>
      <c r="AG1059" s="1305"/>
      <c r="AH1059" s="1305"/>
      <c r="AI1059" s="1305"/>
      <c r="AJ1059" s="1305"/>
      <c r="AK1059" s="1305"/>
      <c r="AL1059" s="1305"/>
      <c r="AM1059" s="1305"/>
      <c r="AN1059" s="1305"/>
      <c r="AO1059" s="1059"/>
      <c r="AP1059" s="1059"/>
      <c r="AQ1059" s="1059"/>
      <c r="AR1059" s="1059"/>
      <c r="AS1059" s="1059"/>
      <c r="AT1059" s="1059"/>
      <c r="AU1059" s="1059"/>
      <c r="AV1059" s="11"/>
      <c r="AW1059" s="11"/>
      <c r="AX1059" s="11"/>
      <c r="AY1059" s="11"/>
      <c r="BA1059" s="967">
        <f>MAX($BA$1058-$BA$1055,0)</f>
        <v>2757657</v>
      </c>
      <c r="BB1059" s="2" t="s">
        <v>1730</v>
      </c>
    </row>
    <row r="1060" spans="1:54" ht="13" customHeight="1">
      <c r="A1060" s="1082"/>
      <c r="B1060" s="953"/>
      <c r="C1060" s="953"/>
      <c r="D1060" s="953"/>
      <c r="E1060" s="953"/>
      <c r="F1060" s="953"/>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953"/>
      <c r="AP1060" s="953"/>
      <c r="AQ1060" s="1059"/>
      <c r="AR1060" s="1059"/>
      <c r="AS1060" s="1059"/>
      <c r="AT1060" s="1059"/>
      <c r="AU1060" s="1059"/>
      <c r="AV1060" s="1059"/>
      <c r="AW1060" s="1059"/>
      <c r="AX1060" s="1059"/>
      <c r="AY1060" s="1059"/>
    </row>
    <row r="1061" spans="1:54" ht="13" customHeight="1">
      <c r="A1061" s="1768" t="s">
        <v>1731</v>
      </c>
      <c r="B1061" s="1768"/>
      <c r="C1061" s="1768"/>
      <c r="D1061" s="1768"/>
      <c r="E1061" s="1768"/>
      <c r="F1061" s="1768"/>
      <c r="G1061" s="1768"/>
      <c r="H1061" s="1768"/>
      <c r="I1061" s="1768"/>
      <c r="J1061" s="1768"/>
      <c r="K1061" s="1768"/>
      <c r="L1061" s="1768"/>
      <c r="M1061" s="1768"/>
      <c r="N1061" s="1768"/>
      <c r="O1061" s="1768"/>
      <c r="P1061" s="1768"/>
      <c r="Q1061" s="1768"/>
      <c r="R1061" s="1768"/>
      <c r="S1061" s="1768"/>
      <c r="T1061" s="1768"/>
      <c r="U1061" s="1768"/>
      <c r="V1061" s="1768"/>
      <c r="W1061" s="1768"/>
      <c r="X1061" s="1768"/>
      <c r="Y1061" s="1768"/>
      <c r="Z1061" s="1768"/>
      <c r="AA1061" s="1768"/>
      <c r="AB1061" s="1768"/>
      <c r="AC1061" s="1768"/>
      <c r="AD1061" s="1768"/>
      <c r="AE1061" s="1768"/>
      <c r="AF1061" s="1768"/>
      <c r="AG1061" s="1768"/>
      <c r="AH1061" s="1768"/>
      <c r="AI1061" s="1768"/>
      <c r="AJ1061" s="1768"/>
      <c r="AK1061" s="1768"/>
      <c r="AL1061" s="1768"/>
      <c r="AM1061" s="1768"/>
      <c r="AN1061" s="1768"/>
      <c r="AO1061" s="1768"/>
      <c r="AP1061" s="1768"/>
      <c r="AQ1061" s="1768"/>
      <c r="AR1061" s="1149"/>
      <c r="AS1061" s="1149"/>
      <c r="AT1061" s="1149"/>
      <c r="AV1061" s="1059"/>
      <c r="AW1061" s="1059"/>
      <c r="AX1061" s="1059"/>
      <c r="AY1061" s="1059"/>
    </row>
    <row r="1062" spans="1:54" ht="13" customHeight="1">
      <c r="A1062" s="11"/>
      <c r="B1062" s="11"/>
      <c r="C1062" s="11"/>
      <c r="D1062" s="11"/>
      <c r="E1062" s="11"/>
      <c r="F1062" s="11"/>
      <c r="G1062" s="11"/>
      <c r="H1062" s="11"/>
      <c r="I1062" s="11"/>
      <c r="J1062" s="11"/>
      <c r="K1062" s="11"/>
      <c r="L1062" s="11"/>
      <c r="M1062" s="11"/>
      <c r="N1062" s="11"/>
      <c r="O1062" s="11"/>
      <c r="P1062" s="11"/>
      <c r="Q1062" s="1149"/>
      <c r="R1062" s="1149"/>
      <c r="S1062" s="1149"/>
      <c r="T1062" s="1149"/>
      <c r="U1062" s="1149"/>
      <c r="V1062" s="1149"/>
      <c r="W1062" s="1149"/>
      <c r="X1062" s="1149"/>
      <c r="Y1062" s="1149"/>
      <c r="Z1062" s="1149"/>
      <c r="AA1062" s="1149"/>
      <c r="AB1062" s="1149"/>
      <c r="AC1062" s="1149"/>
      <c r="AD1062" s="1149"/>
      <c r="AE1062" s="1149"/>
      <c r="AF1062" s="1149"/>
      <c r="AG1062" s="1149"/>
      <c r="AH1062" s="1149"/>
      <c r="AI1062" s="1149"/>
      <c r="AJ1062" s="1149"/>
      <c r="AK1062" s="1149"/>
      <c r="AL1062" s="1149"/>
      <c r="AM1062" s="1149"/>
      <c r="AN1062" s="1149"/>
      <c r="AO1062" s="1149"/>
      <c r="AP1062" s="1149"/>
      <c r="AQ1062" s="1149"/>
      <c r="AR1062" s="1149"/>
      <c r="AS1062" s="1149"/>
      <c r="AT1062" s="1149"/>
      <c r="AV1062" s="1059"/>
      <c r="AW1062" s="1059"/>
      <c r="AX1062" s="1059"/>
      <c r="AY1062" s="1059"/>
    </row>
    <row r="1063" spans="1:54" ht="13" customHeight="1">
      <c r="A1063" s="38" t="s">
        <v>1732</v>
      </c>
      <c r="B1063" s="1149"/>
      <c r="C1063" s="1149"/>
      <c r="D1063" s="1149"/>
      <c r="E1063" s="1149"/>
      <c r="F1063" s="1149"/>
      <c r="G1063" s="1149"/>
      <c r="H1063" s="1149"/>
      <c r="I1063" s="1149"/>
      <c r="J1063" s="1149"/>
      <c r="K1063" s="1149"/>
      <c r="L1063" s="1149"/>
      <c r="M1063" s="1149"/>
      <c r="N1063" s="1149"/>
      <c r="O1063" s="1149"/>
      <c r="P1063" s="1149"/>
      <c r="Q1063" s="1149"/>
      <c r="R1063" s="1149"/>
      <c r="S1063" s="1149"/>
      <c r="T1063" s="1149"/>
      <c r="U1063" s="1149"/>
      <c r="V1063" s="1149"/>
      <c r="W1063" s="1149"/>
      <c r="X1063" s="1149"/>
      <c r="AJ1063" s="11"/>
      <c r="AK1063" s="11"/>
      <c r="AL1063" s="11"/>
      <c r="AM1063" s="11"/>
      <c r="AN1063" s="11"/>
      <c r="AO1063" s="11"/>
      <c r="AP1063" s="11"/>
      <c r="AQ1063" s="11"/>
      <c r="AR1063" s="11"/>
      <c r="AS1063" s="11"/>
      <c r="AT1063" s="11"/>
      <c r="AV1063" s="1059"/>
      <c r="AW1063" s="1059"/>
      <c r="AX1063" s="1059"/>
      <c r="AY1063" s="1059"/>
    </row>
    <row r="1064" spans="1:54" ht="13" customHeight="1">
      <c r="A1064" s="110" t="s">
        <v>1733</v>
      </c>
      <c r="B1064" s="11"/>
      <c r="C1064" s="11"/>
      <c r="D1064" s="11"/>
      <c r="E1064" s="11"/>
      <c r="F1064" s="11"/>
      <c r="G1064" s="11"/>
      <c r="H1064" s="11"/>
      <c r="I1064" s="11"/>
      <c r="J1064" s="11"/>
      <c r="K1064" s="11"/>
      <c r="L1064" s="11"/>
      <c r="M1064" s="11"/>
      <c r="N1064" s="11"/>
      <c r="O1064" s="11"/>
      <c r="P1064" s="11"/>
      <c r="Q1064" s="1149"/>
      <c r="R1064" s="1149"/>
      <c r="S1064" s="1149"/>
      <c r="T1064" s="1149"/>
      <c r="U1064" s="1149"/>
      <c r="V1064" s="1149"/>
      <c r="W1064" s="1149"/>
      <c r="X1064" s="1149"/>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059"/>
      <c r="AW1064" s="1059"/>
      <c r="AX1064" s="1059"/>
      <c r="AY1064" s="1059"/>
    </row>
    <row r="1065" spans="1:54" ht="13" customHeight="1">
      <c r="A1065" s="1367" t="s">
        <v>798</v>
      </c>
      <c r="B1065" s="1367"/>
      <c r="C1065" s="1574">
        <v>1</v>
      </c>
      <c r="D1065" s="1574"/>
      <c r="E1065" s="11" t="s">
        <v>1734</v>
      </c>
      <c r="F1065" s="11"/>
      <c r="G1065" s="11"/>
      <c r="H1065" s="11"/>
      <c r="I1065" s="11"/>
      <c r="J1065" s="11"/>
      <c r="K1065" s="11"/>
      <c r="L1065" s="11"/>
      <c r="M1065" s="11"/>
      <c r="N1065" s="11"/>
      <c r="O1065" s="11"/>
      <c r="P1065" s="11"/>
      <c r="Q1065" s="1149"/>
      <c r="R1065" s="1149"/>
      <c r="S1065" s="1149"/>
      <c r="T1065" s="1149"/>
      <c r="U1065" s="1149"/>
      <c r="V1065" s="1149"/>
      <c r="W1065" s="1149"/>
      <c r="X1065" s="1149"/>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059"/>
      <c r="AW1065" s="1059"/>
      <c r="AX1065" s="1059"/>
      <c r="AY1065" s="1059"/>
    </row>
    <row r="1066" spans="1:54" ht="13" customHeight="1">
      <c r="A1066" s="110"/>
      <c r="B1066" s="11"/>
      <c r="C1066" s="1574"/>
      <c r="D1066" s="1574"/>
      <c r="E1066" s="11"/>
      <c r="F1066" s="11"/>
      <c r="G1066" s="11"/>
      <c r="H1066" s="11"/>
      <c r="I1066" s="11"/>
      <c r="J1066" s="11"/>
      <c r="K1066" s="11"/>
      <c r="L1066" s="11"/>
      <c r="M1066" s="11"/>
      <c r="N1066" s="11"/>
      <c r="O1066" s="11"/>
      <c r="P1066" s="11"/>
      <c r="Q1066" s="1149"/>
      <c r="R1066" s="1149"/>
      <c r="S1066" s="1149"/>
      <c r="T1066" s="1149"/>
      <c r="U1066" s="1149"/>
      <c r="V1066" s="1149"/>
      <c r="W1066" s="1149"/>
      <c r="X1066" s="1149"/>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059"/>
      <c r="AW1066" s="1059"/>
      <c r="AX1066" s="1059"/>
      <c r="AY1066" s="1059"/>
    </row>
    <row r="1067" spans="1:54" ht="13" customHeight="1">
      <c r="A1067" s="1367" t="s">
        <v>798</v>
      </c>
      <c r="B1067" s="1367"/>
      <c r="C1067" s="1574">
        <v>2</v>
      </c>
      <c r="D1067" s="1574"/>
      <c r="E1067" s="1787" t="s">
        <v>1735</v>
      </c>
      <c r="F1067" s="1787"/>
      <c r="G1067" s="1787"/>
      <c r="H1067" s="1787"/>
      <c r="I1067" s="1787"/>
      <c r="J1067" s="1787"/>
      <c r="K1067" s="1787"/>
      <c r="L1067" s="1787"/>
      <c r="M1067" s="1787"/>
      <c r="N1067" s="1787"/>
      <c r="O1067" s="1787"/>
      <c r="P1067" s="1787"/>
      <c r="Q1067" s="1787"/>
      <c r="R1067" s="1787"/>
      <c r="S1067" s="1787"/>
      <c r="T1067" s="1787"/>
      <c r="U1067" s="1787"/>
      <c r="V1067" s="1787"/>
      <c r="W1067" s="1787"/>
      <c r="X1067" s="1787"/>
      <c r="Y1067" s="1787"/>
      <c r="Z1067" s="1787"/>
      <c r="AA1067" s="1787"/>
      <c r="AB1067" s="1787"/>
      <c r="AC1067" s="1787"/>
      <c r="AD1067" s="1787"/>
      <c r="AE1067" s="1787"/>
      <c r="AF1067" s="1787"/>
      <c r="AG1067" s="1787"/>
      <c r="AH1067" s="1787"/>
      <c r="AI1067" s="1787"/>
      <c r="AJ1067" s="1787"/>
      <c r="AK1067" s="1787"/>
      <c r="AL1067" s="1787"/>
      <c r="AM1067" s="1787"/>
      <c r="AN1067" s="1787"/>
      <c r="AO1067" s="1787"/>
      <c r="AP1067" s="1787"/>
      <c r="AQ1067" s="1787"/>
      <c r="AR1067" s="1787"/>
      <c r="AS1067" s="11"/>
      <c r="AT1067" s="11"/>
      <c r="AV1067" s="1059"/>
      <c r="AW1067" s="1059"/>
      <c r="AX1067" s="1059"/>
      <c r="AY1067" s="1059"/>
    </row>
    <row r="1068" spans="1:54" ht="13" customHeight="1">
      <c r="A1068" s="110"/>
      <c r="B1068" s="11"/>
      <c r="C1068" s="1574"/>
      <c r="D1068" s="1574"/>
      <c r="E1068" s="1787"/>
      <c r="F1068" s="1787"/>
      <c r="G1068" s="1787"/>
      <c r="H1068" s="1787"/>
      <c r="I1068" s="1787"/>
      <c r="J1068" s="1787"/>
      <c r="K1068" s="1787"/>
      <c r="L1068" s="1787"/>
      <c r="M1068" s="1787"/>
      <c r="N1068" s="1787"/>
      <c r="O1068" s="1787"/>
      <c r="P1068" s="1787"/>
      <c r="Q1068" s="1787"/>
      <c r="R1068" s="1787"/>
      <c r="S1068" s="1787"/>
      <c r="T1068" s="1787"/>
      <c r="U1068" s="1787"/>
      <c r="V1068" s="1787"/>
      <c r="W1068" s="1787"/>
      <c r="X1068" s="1787"/>
      <c r="Y1068" s="1787"/>
      <c r="Z1068" s="1787"/>
      <c r="AA1068" s="1787"/>
      <c r="AB1068" s="1787"/>
      <c r="AC1068" s="1787"/>
      <c r="AD1068" s="1787"/>
      <c r="AE1068" s="1787"/>
      <c r="AF1068" s="1787"/>
      <c r="AG1068" s="1787"/>
      <c r="AH1068" s="1787"/>
      <c r="AI1068" s="1787"/>
      <c r="AJ1068" s="1787"/>
      <c r="AK1068" s="1787"/>
      <c r="AL1068" s="1787"/>
      <c r="AM1068" s="1787"/>
      <c r="AN1068" s="1787"/>
      <c r="AO1068" s="1787"/>
      <c r="AP1068" s="1787"/>
      <c r="AQ1068" s="1787"/>
      <c r="AR1068" s="1787"/>
      <c r="AS1068" s="11"/>
      <c r="AT1068" s="11"/>
      <c r="AV1068" s="1059"/>
      <c r="AW1068" s="1059"/>
      <c r="AX1068" s="1059"/>
      <c r="AY1068" s="1059"/>
    </row>
    <row r="1069" spans="1:54" ht="13" customHeight="1">
      <c r="A1069" s="110"/>
      <c r="B1069" s="11"/>
      <c r="C1069" s="1574"/>
      <c r="D1069" s="1574"/>
      <c r="E1069" s="11"/>
      <c r="F1069" s="11"/>
      <c r="G1069" s="11"/>
      <c r="H1069" s="11"/>
      <c r="I1069" s="11"/>
      <c r="J1069" s="11"/>
      <c r="K1069" s="11"/>
      <c r="L1069" s="11"/>
      <c r="M1069" s="11"/>
      <c r="N1069" s="11"/>
      <c r="O1069" s="11"/>
      <c r="P1069" s="11"/>
      <c r="Q1069" s="1149"/>
      <c r="R1069" s="1149"/>
      <c r="S1069" s="1149"/>
      <c r="T1069" s="1149"/>
      <c r="U1069" s="1149"/>
      <c r="V1069" s="1149"/>
      <c r="W1069" s="1149"/>
      <c r="X1069" s="1149"/>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059"/>
      <c r="AW1069" s="1059"/>
      <c r="AX1069" s="1059"/>
      <c r="AY1069" s="1059"/>
    </row>
    <row r="1070" spans="1:54" ht="13" customHeight="1">
      <c r="A1070" s="1367" t="s">
        <v>798</v>
      </c>
      <c r="B1070" s="1367"/>
      <c r="C1070" s="1357">
        <v>3</v>
      </c>
      <c r="D1070" s="1357"/>
      <c r="E1070" s="1289" t="s">
        <v>1736</v>
      </c>
      <c r="F1070" s="1289"/>
      <c r="G1070" s="1289"/>
      <c r="H1070" s="1289"/>
      <c r="I1070" s="1289"/>
      <c r="J1070" s="1289"/>
      <c r="K1070" s="1289"/>
      <c r="L1070" s="1289"/>
      <c r="M1070" s="1289"/>
      <c r="N1070" s="1289"/>
      <c r="O1070" s="1289"/>
      <c r="P1070" s="1289"/>
      <c r="Q1070" s="1289"/>
      <c r="R1070" s="1289"/>
      <c r="S1070" s="1289"/>
      <c r="T1070" s="1289"/>
      <c r="U1070" s="1289"/>
      <c r="V1070" s="1289"/>
      <c r="W1070" s="1289"/>
      <c r="X1070" s="1289"/>
      <c r="Y1070" s="1289"/>
      <c r="Z1070" s="1289"/>
      <c r="AA1070" s="1289"/>
      <c r="AB1070" s="1289"/>
      <c r="AC1070" s="1289"/>
      <c r="AD1070" s="1289"/>
      <c r="AE1070" s="1289"/>
      <c r="AF1070" s="1289"/>
      <c r="AG1070" s="1289"/>
      <c r="AH1070" s="1289"/>
      <c r="AI1070" s="1289"/>
      <c r="AJ1070" s="1289"/>
      <c r="AK1070" s="1289"/>
      <c r="AL1070" s="1289"/>
      <c r="AM1070" s="1289"/>
      <c r="AN1070" s="1289"/>
      <c r="AO1070" s="1289"/>
      <c r="AP1070" s="1289"/>
      <c r="AQ1070" s="1289"/>
      <c r="AR1070" s="1289"/>
      <c r="AS1070" s="11"/>
      <c r="AT1070" s="1059"/>
      <c r="AV1070" s="1059"/>
      <c r="AW1070" s="1059"/>
      <c r="AX1070" s="1059"/>
      <c r="AY1070" s="1059"/>
    </row>
    <row r="1071" spans="1:54" ht="13" customHeight="1">
      <c r="A1071" s="1146"/>
      <c r="B1071" s="1146"/>
      <c r="C1071" s="1357"/>
      <c r="D1071" s="1357"/>
      <c r="E1071" s="1289"/>
      <c r="F1071" s="1289"/>
      <c r="G1071" s="1289"/>
      <c r="H1071" s="1289"/>
      <c r="I1071" s="1289"/>
      <c r="J1071" s="1289"/>
      <c r="K1071" s="1289"/>
      <c r="L1071" s="1289"/>
      <c r="M1071" s="1289"/>
      <c r="N1071" s="1289"/>
      <c r="O1071" s="1289"/>
      <c r="P1071" s="1289"/>
      <c r="Q1071" s="1289"/>
      <c r="R1071" s="1289"/>
      <c r="S1071" s="1289"/>
      <c r="T1071" s="1289"/>
      <c r="U1071" s="1289"/>
      <c r="V1071" s="1289"/>
      <c r="W1071" s="1289"/>
      <c r="X1071" s="1289"/>
      <c r="Y1071" s="1289"/>
      <c r="Z1071" s="1289"/>
      <c r="AA1071" s="1289"/>
      <c r="AB1071" s="1289"/>
      <c r="AC1071" s="1289"/>
      <c r="AD1071" s="1289"/>
      <c r="AE1071" s="1289"/>
      <c r="AF1071" s="1289"/>
      <c r="AG1071" s="1289"/>
      <c r="AH1071" s="1289"/>
      <c r="AI1071" s="1289"/>
      <c r="AJ1071" s="1289"/>
      <c r="AK1071" s="1289"/>
      <c r="AL1071" s="1289"/>
      <c r="AM1071" s="1289"/>
      <c r="AN1071" s="1289"/>
      <c r="AO1071" s="1289"/>
      <c r="AP1071" s="1289"/>
      <c r="AQ1071" s="1289"/>
      <c r="AR1071" s="1289"/>
      <c r="AS1071" s="11"/>
      <c r="AT1071" s="1059"/>
      <c r="AV1071" s="1059"/>
      <c r="AW1071" s="1059"/>
      <c r="AX1071" s="1059"/>
      <c r="AY1071" s="1059"/>
    </row>
    <row r="1072" spans="1:54" ht="13" customHeight="1">
      <c r="A1072" s="1146"/>
      <c r="B1072" s="1146"/>
      <c r="C1072" s="1357"/>
      <c r="D1072" s="1357"/>
      <c r="E1072" s="1289"/>
      <c r="F1072" s="1289"/>
      <c r="G1072" s="1289"/>
      <c r="H1072" s="1289"/>
      <c r="I1072" s="1289"/>
      <c r="J1072" s="1289"/>
      <c r="K1072" s="1289"/>
      <c r="L1072" s="1289"/>
      <c r="M1072" s="1289"/>
      <c r="N1072" s="1289"/>
      <c r="O1072" s="1289"/>
      <c r="P1072" s="1289"/>
      <c r="Q1072" s="1289"/>
      <c r="R1072" s="1289"/>
      <c r="S1072" s="1289"/>
      <c r="T1072" s="1289"/>
      <c r="U1072" s="1289"/>
      <c r="V1072" s="1289"/>
      <c r="W1072" s="1289"/>
      <c r="X1072" s="1289"/>
      <c r="Y1072" s="1289"/>
      <c r="Z1072" s="1289"/>
      <c r="AA1072" s="1289"/>
      <c r="AB1072" s="1289"/>
      <c r="AC1072" s="1289"/>
      <c r="AD1072" s="1289"/>
      <c r="AE1072" s="1289"/>
      <c r="AF1072" s="1289"/>
      <c r="AG1072" s="1289"/>
      <c r="AH1072" s="1289"/>
      <c r="AI1072" s="1289"/>
      <c r="AJ1072" s="1289"/>
      <c r="AK1072" s="1289"/>
      <c r="AL1072" s="1289"/>
      <c r="AM1072" s="1289"/>
      <c r="AN1072" s="1289"/>
      <c r="AO1072" s="1289"/>
      <c r="AP1072" s="1289"/>
      <c r="AQ1072" s="1289"/>
      <c r="AR1072" s="1289"/>
      <c r="AS1072" s="11"/>
      <c r="AT1072" s="1059"/>
      <c r="AV1072" s="1059"/>
      <c r="AW1072" s="1059"/>
      <c r="AX1072" s="1059"/>
      <c r="AY1072" s="1059"/>
    </row>
    <row r="1073" spans="1:51" ht="13" customHeight="1">
      <c r="A1073" s="1146"/>
      <c r="B1073" s="1146"/>
      <c r="C1073" s="1357"/>
      <c r="D1073" s="1357"/>
      <c r="E1073" s="1289"/>
      <c r="F1073" s="1289"/>
      <c r="G1073" s="1289"/>
      <c r="H1073" s="1289"/>
      <c r="I1073" s="1289"/>
      <c r="J1073" s="1289"/>
      <c r="K1073" s="1289"/>
      <c r="L1073" s="1289"/>
      <c r="M1073" s="1289"/>
      <c r="N1073" s="1289"/>
      <c r="O1073" s="1289"/>
      <c r="P1073" s="1289"/>
      <c r="Q1073" s="1289"/>
      <c r="R1073" s="1289"/>
      <c r="S1073" s="1289"/>
      <c r="T1073" s="1289"/>
      <c r="U1073" s="1289"/>
      <c r="V1073" s="1289"/>
      <c r="W1073" s="1289"/>
      <c r="X1073" s="1289"/>
      <c r="Y1073" s="1289"/>
      <c r="Z1073" s="1289"/>
      <c r="AA1073" s="1289"/>
      <c r="AB1073" s="1289"/>
      <c r="AC1073" s="1289"/>
      <c r="AD1073" s="1289"/>
      <c r="AE1073" s="1289"/>
      <c r="AF1073" s="1289"/>
      <c r="AG1073" s="1289"/>
      <c r="AH1073" s="1289"/>
      <c r="AI1073" s="1289"/>
      <c r="AJ1073" s="1289"/>
      <c r="AK1073" s="1289"/>
      <c r="AL1073" s="1289"/>
      <c r="AM1073" s="1289"/>
      <c r="AN1073" s="1289"/>
      <c r="AO1073" s="1289"/>
      <c r="AP1073" s="1289"/>
      <c r="AQ1073" s="1289"/>
      <c r="AR1073" s="1289"/>
      <c r="AS1073" s="11"/>
      <c r="AT1073" s="1059"/>
      <c r="AV1073" s="1059"/>
      <c r="AW1073" s="1059"/>
      <c r="AX1073" s="1059"/>
      <c r="AY1073" s="1059"/>
    </row>
    <row r="1074" spans="1:51" ht="13" customHeight="1">
      <c r="A1074" s="1"/>
      <c r="B1074" s="19"/>
      <c r="C1074" s="1357"/>
      <c r="D1074" s="1357"/>
      <c r="E1074" s="1126"/>
      <c r="F1074" s="1126"/>
      <c r="G1074" s="1126"/>
      <c r="H1074" s="1126"/>
      <c r="I1074" s="1126"/>
      <c r="J1074" s="1126"/>
      <c r="K1074" s="1126"/>
      <c r="L1074" s="1126"/>
      <c r="M1074" s="1126"/>
      <c r="N1074" s="1126"/>
      <c r="O1074" s="1126"/>
      <c r="P1074" s="1126"/>
      <c r="Q1074" s="1126"/>
      <c r="R1074" s="1126"/>
      <c r="S1074" s="1126"/>
      <c r="T1074" s="1126"/>
      <c r="U1074" s="1126"/>
      <c r="V1074" s="1126"/>
      <c r="W1074" s="1126"/>
      <c r="X1074" s="1126"/>
      <c r="Y1074" s="1126"/>
      <c r="Z1074" s="1126"/>
      <c r="AA1074" s="1126"/>
      <c r="AB1074" s="1126"/>
      <c r="AC1074" s="1126"/>
      <c r="AD1074" s="1126"/>
      <c r="AE1074" s="1126"/>
      <c r="AF1074" s="1126"/>
      <c r="AG1074" s="1126"/>
      <c r="AH1074" s="1126"/>
      <c r="AI1074" s="1126"/>
      <c r="AJ1074" s="1126"/>
      <c r="AK1074" s="1126"/>
      <c r="AL1074" s="1059"/>
      <c r="AM1074" s="1059"/>
      <c r="AN1074" s="1059"/>
      <c r="AO1074" s="1059"/>
      <c r="AP1074" s="1059"/>
      <c r="AQ1074" s="1059"/>
      <c r="AR1074" s="1059"/>
      <c r="AS1074" s="11"/>
      <c r="AT1074" s="1059"/>
      <c r="AV1074" s="1059"/>
      <c r="AW1074" s="1059"/>
      <c r="AX1074" s="1059"/>
      <c r="AY1074" s="1059"/>
    </row>
    <row r="1075" spans="1:51" ht="13" customHeight="1">
      <c r="A1075" s="1367" t="s">
        <v>798</v>
      </c>
      <c r="B1075" s="1367"/>
      <c r="C1075" s="1357">
        <v>4</v>
      </c>
      <c r="D1075" s="1357"/>
      <c r="E1075" s="1289" t="s">
        <v>1737</v>
      </c>
      <c r="F1075" s="1289"/>
      <c r="G1075" s="1289"/>
      <c r="H1075" s="1289"/>
      <c r="I1075" s="1289"/>
      <c r="J1075" s="1289"/>
      <c r="K1075" s="1289"/>
      <c r="L1075" s="1289"/>
      <c r="M1075" s="1289"/>
      <c r="N1075" s="1289"/>
      <c r="O1075" s="1289"/>
      <c r="P1075" s="1289"/>
      <c r="Q1075" s="1289"/>
      <c r="R1075" s="1289"/>
      <c r="S1075" s="1289"/>
      <c r="T1075" s="1289"/>
      <c r="U1075" s="1289"/>
      <c r="V1075" s="1289"/>
      <c r="W1075" s="1289"/>
      <c r="X1075" s="1289"/>
      <c r="Y1075" s="1289"/>
      <c r="Z1075" s="1289"/>
      <c r="AA1075" s="1289"/>
      <c r="AB1075" s="1289"/>
      <c r="AC1075" s="1289"/>
      <c r="AD1075" s="1289"/>
      <c r="AE1075" s="1289"/>
      <c r="AF1075" s="1289"/>
      <c r="AG1075" s="1289"/>
      <c r="AH1075" s="1289"/>
      <c r="AI1075" s="1289"/>
      <c r="AJ1075" s="1289"/>
      <c r="AK1075" s="1289"/>
      <c r="AL1075" s="1289"/>
      <c r="AM1075" s="1289"/>
      <c r="AN1075" s="1289"/>
      <c r="AO1075" s="1289"/>
      <c r="AP1075" s="1289"/>
      <c r="AQ1075" s="1289"/>
      <c r="AR1075" s="1289"/>
      <c r="AS1075" s="11"/>
      <c r="AT1075" s="1059"/>
    </row>
    <row r="1076" spans="1:51" ht="13" customHeight="1">
      <c r="A1076" s="1146"/>
      <c r="B1076" s="1146"/>
      <c r="C1076" s="1357"/>
      <c r="D1076" s="1357"/>
      <c r="E1076" s="1289"/>
      <c r="F1076" s="1289"/>
      <c r="G1076" s="1289"/>
      <c r="H1076" s="1289"/>
      <c r="I1076" s="1289"/>
      <c r="J1076" s="1289"/>
      <c r="K1076" s="1289"/>
      <c r="L1076" s="1289"/>
      <c r="M1076" s="1289"/>
      <c r="N1076" s="1289"/>
      <c r="O1076" s="1289"/>
      <c r="P1076" s="1289"/>
      <c r="Q1076" s="1289"/>
      <c r="R1076" s="1289"/>
      <c r="S1076" s="1289"/>
      <c r="T1076" s="1289"/>
      <c r="U1076" s="1289"/>
      <c r="V1076" s="1289"/>
      <c r="W1076" s="1289"/>
      <c r="X1076" s="1289"/>
      <c r="Y1076" s="1289"/>
      <c r="Z1076" s="1289"/>
      <c r="AA1076" s="1289"/>
      <c r="AB1076" s="1289"/>
      <c r="AC1076" s="1289"/>
      <c r="AD1076" s="1289"/>
      <c r="AE1076" s="1289"/>
      <c r="AF1076" s="1289"/>
      <c r="AG1076" s="1289"/>
      <c r="AH1076" s="1289"/>
      <c r="AI1076" s="1289"/>
      <c r="AJ1076" s="1289"/>
      <c r="AK1076" s="1289"/>
      <c r="AL1076" s="1289"/>
      <c r="AM1076" s="1289"/>
      <c r="AN1076" s="1289"/>
      <c r="AO1076" s="1289"/>
      <c r="AP1076" s="1289"/>
      <c r="AQ1076" s="1289"/>
      <c r="AR1076" s="1289"/>
      <c r="AS1076" s="11"/>
      <c r="AT1076" s="1059"/>
    </row>
    <row r="1077" spans="1:51" ht="13" customHeight="1">
      <c r="A1077" s="1146"/>
      <c r="B1077" s="1146"/>
      <c r="C1077" s="1357"/>
      <c r="D1077" s="1357"/>
      <c r="E1077" s="1289"/>
      <c r="F1077" s="1289"/>
      <c r="G1077" s="1289"/>
      <c r="H1077" s="1289"/>
      <c r="I1077" s="1289"/>
      <c r="J1077" s="1289"/>
      <c r="K1077" s="1289"/>
      <c r="L1077" s="1289"/>
      <c r="M1077" s="1289"/>
      <c r="N1077" s="1289"/>
      <c r="O1077" s="1289"/>
      <c r="P1077" s="1289"/>
      <c r="Q1077" s="1289"/>
      <c r="R1077" s="1289"/>
      <c r="S1077" s="1289"/>
      <c r="T1077" s="1289"/>
      <c r="U1077" s="1289"/>
      <c r="V1077" s="1289"/>
      <c r="W1077" s="1289"/>
      <c r="X1077" s="1289"/>
      <c r="Y1077" s="1289"/>
      <c r="Z1077" s="1289"/>
      <c r="AA1077" s="1289"/>
      <c r="AB1077" s="1289"/>
      <c r="AC1077" s="1289"/>
      <c r="AD1077" s="1289"/>
      <c r="AE1077" s="1289"/>
      <c r="AF1077" s="1289"/>
      <c r="AG1077" s="1289"/>
      <c r="AH1077" s="1289"/>
      <c r="AI1077" s="1289"/>
      <c r="AJ1077" s="1289"/>
      <c r="AK1077" s="1289"/>
      <c r="AL1077" s="1289"/>
      <c r="AM1077" s="1289"/>
      <c r="AN1077" s="1289"/>
      <c r="AO1077" s="1289"/>
      <c r="AP1077" s="1289"/>
      <c r="AQ1077" s="1289"/>
      <c r="AR1077" s="1289"/>
      <c r="AS1077" s="11"/>
      <c r="AT1077" s="1059"/>
    </row>
    <row r="1078" spans="1:51" ht="13" customHeight="1">
      <c r="A1078" s="1146"/>
      <c r="B1078" s="1146"/>
      <c r="C1078" s="1357"/>
      <c r="D1078" s="1357"/>
      <c r="E1078" s="1289"/>
      <c r="F1078" s="1289"/>
      <c r="G1078" s="1289"/>
      <c r="H1078" s="1289"/>
      <c r="I1078" s="1289"/>
      <c r="J1078" s="1289"/>
      <c r="K1078" s="1289"/>
      <c r="L1078" s="1289"/>
      <c r="M1078" s="1289"/>
      <c r="N1078" s="1289"/>
      <c r="O1078" s="1289"/>
      <c r="P1078" s="1289"/>
      <c r="Q1078" s="1289"/>
      <c r="R1078" s="1289"/>
      <c r="S1078" s="1289"/>
      <c r="T1078" s="1289"/>
      <c r="U1078" s="1289"/>
      <c r="V1078" s="1289"/>
      <c r="W1078" s="1289"/>
      <c r="X1078" s="1289"/>
      <c r="Y1078" s="1289"/>
      <c r="Z1078" s="1289"/>
      <c r="AA1078" s="1289"/>
      <c r="AB1078" s="1289"/>
      <c r="AC1078" s="1289"/>
      <c r="AD1078" s="1289"/>
      <c r="AE1078" s="1289"/>
      <c r="AF1078" s="1289"/>
      <c r="AG1078" s="1289"/>
      <c r="AH1078" s="1289"/>
      <c r="AI1078" s="1289"/>
      <c r="AJ1078" s="1289"/>
      <c r="AK1078" s="1289"/>
      <c r="AL1078" s="1289"/>
      <c r="AM1078" s="1289"/>
      <c r="AN1078" s="1289"/>
      <c r="AO1078" s="1289"/>
      <c r="AP1078" s="1289"/>
      <c r="AQ1078" s="1289"/>
      <c r="AR1078" s="1289"/>
      <c r="AS1078" s="11"/>
      <c r="AT1078" s="1059"/>
    </row>
    <row r="1079" spans="1:51" ht="13" customHeight="1">
      <c r="A1079" s="1146"/>
      <c r="B1079" s="1146"/>
      <c r="C1079" s="1357"/>
      <c r="D1079" s="1357"/>
      <c r="E1079" s="1289"/>
      <c r="F1079" s="1289"/>
      <c r="G1079" s="1289"/>
      <c r="H1079" s="1289"/>
      <c r="I1079" s="1289"/>
      <c r="J1079" s="1289"/>
      <c r="K1079" s="1289"/>
      <c r="L1079" s="1289"/>
      <c r="M1079" s="1289"/>
      <c r="N1079" s="1289"/>
      <c r="O1079" s="1289"/>
      <c r="P1079" s="1289"/>
      <c r="Q1079" s="1289"/>
      <c r="R1079" s="1289"/>
      <c r="S1079" s="1289"/>
      <c r="T1079" s="1289"/>
      <c r="U1079" s="1289"/>
      <c r="V1079" s="1289"/>
      <c r="W1079" s="1289"/>
      <c r="X1079" s="1289"/>
      <c r="Y1079" s="1289"/>
      <c r="Z1079" s="1289"/>
      <c r="AA1079" s="1289"/>
      <c r="AB1079" s="1289"/>
      <c r="AC1079" s="1289"/>
      <c r="AD1079" s="1289"/>
      <c r="AE1079" s="1289"/>
      <c r="AF1079" s="1289"/>
      <c r="AG1079" s="1289"/>
      <c r="AH1079" s="1289"/>
      <c r="AI1079" s="1289"/>
      <c r="AJ1079" s="1289"/>
      <c r="AK1079" s="1289"/>
      <c r="AL1079" s="1289"/>
      <c r="AM1079" s="1289"/>
      <c r="AN1079" s="1289"/>
      <c r="AO1079" s="1289"/>
      <c r="AP1079" s="1289"/>
      <c r="AQ1079" s="1289"/>
      <c r="AR1079" s="1289"/>
      <c r="AS1079" s="11"/>
      <c r="AT1079" s="1059"/>
    </row>
    <row r="1080" spans="1:51" ht="13" customHeight="1">
      <c r="A1080" s="1146"/>
      <c r="B1080" s="1146"/>
      <c r="C1080" s="1357"/>
      <c r="D1080" s="1357"/>
      <c r="E1080" s="1126"/>
      <c r="F1080" s="1126"/>
      <c r="G1080" s="1126"/>
      <c r="H1080" s="1126"/>
      <c r="I1080" s="1126"/>
      <c r="J1080" s="1126"/>
      <c r="K1080" s="1126"/>
      <c r="L1080" s="1126"/>
      <c r="M1080" s="1126"/>
      <c r="N1080" s="1126"/>
      <c r="O1080" s="1126"/>
      <c r="P1080" s="1126"/>
      <c r="Q1080" s="1126"/>
      <c r="R1080" s="1126"/>
      <c r="S1080" s="1126"/>
      <c r="T1080" s="1126"/>
      <c r="U1080" s="1126"/>
      <c r="V1080" s="1126"/>
      <c r="W1080" s="1126"/>
      <c r="X1080" s="1126"/>
      <c r="Y1080" s="1126"/>
      <c r="Z1080" s="1126"/>
      <c r="AA1080" s="1126"/>
      <c r="AB1080" s="1126"/>
      <c r="AC1080" s="1126"/>
      <c r="AD1080" s="1126"/>
      <c r="AE1080" s="1126"/>
      <c r="AF1080" s="1126"/>
      <c r="AG1080" s="1126"/>
      <c r="AH1080" s="1126"/>
      <c r="AI1080" s="1126"/>
      <c r="AJ1080" s="1126"/>
      <c r="AK1080" s="1126"/>
      <c r="AS1080" s="11"/>
    </row>
    <row r="1081" spans="1:51" ht="13" customHeight="1">
      <c r="A1081" s="1367" t="s">
        <v>798</v>
      </c>
      <c r="B1081" s="1367"/>
      <c r="C1081" s="1357">
        <v>5</v>
      </c>
      <c r="D1081" s="1357"/>
      <c r="E1081" s="1289" t="s">
        <v>1738</v>
      </c>
      <c r="F1081" s="1289"/>
      <c r="G1081" s="1289"/>
      <c r="H1081" s="1289"/>
      <c r="I1081" s="1289"/>
      <c r="J1081" s="1289"/>
      <c r="K1081" s="1289"/>
      <c r="L1081" s="1289"/>
      <c r="M1081" s="1289"/>
      <c r="N1081" s="1289"/>
      <c r="O1081" s="1289"/>
      <c r="P1081" s="1289"/>
      <c r="Q1081" s="1289"/>
      <c r="R1081" s="1289"/>
      <c r="S1081" s="1289"/>
      <c r="T1081" s="1289"/>
      <c r="U1081" s="1289"/>
      <c r="V1081" s="1289"/>
      <c r="W1081" s="1289"/>
      <c r="X1081" s="1289"/>
      <c r="Y1081" s="1289"/>
      <c r="Z1081" s="1289"/>
      <c r="AA1081" s="1289"/>
      <c r="AB1081" s="1289"/>
      <c r="AC1081" s="1289"/>
      <c r="AD1081" s="1289"/>
      <c r="AE1081" s="1289"/>
      <c r="AF1081" s="1289"/>
      <c r="AG1081" s="1289"/>
      <c r="AH1081" s="1289"/>
      <c r="AI1081" s="1289"/>
      <c r="AJ1081" s="1289"/>
      <c r="AK1081" s="1289"/>
      <c r="AL1081" s="1289"/>
      <c r="AM1081" s="1289"/>
      <c r="AN1081" s="1289"/>
      <c r="AO1081" s="1289"/>
      <c r="AP1081" s="1289"/>
      <c r="AQ1081" s="1289"/>
      <c r="AR1081" s="1289"/>
      <c r="AS1081" s="11"/>
    </row>
    <row r="1082" spans="1:51" ht="13" customHeight="1">
      <c r="A1082" s="2"/>
      <c r="B1082" s="2"/>
      <c r="C1082" s="1357"/>
      <c r="D1082" s="1357"/>
      <c r="E1082" s="1289"/>
      <c r="F1082" s="1289"/>
      <c r="G1082" s="1289"/>
      <c r="H1082" s="1289"/>
      <c r="I1082" s="1289"/>
      <c r="J1082" s="1289"/>
      <c r="K1082" s="1289"/>
      <c r="L1082" s="1289"/>
      <c r="M1082" s="1289"/>
      <c r="N1082" s="1289"/>
      <c r="O1082" s="1289"/>
      <c r="P1082" s="1289"/>
      <c r="Q1082" s="1289"/>
      <c r="R1082" s="1289"/>
      <c r="S1082" s="1289"/>
      <c r="T1082" s="1289"/>
      <c r="U1082" s="1289"/>
      <c r="V1082" s="1289"/>
      <c r="W1082" s="1289"/>
      <c r="X1082" s="1289"/>
      <c r="Y1082" s="1289"/>
      <c r="Z1082" s="1289"/>
      <c r="AA1082" s="1289"/>
      <c r="AB1082" s="1289"/>
      <c r="AC1082" s="1289"/>
      <c r="AD1082" s="1289"/>
      <c r="AE1082" s="1289"/>
      <c r="AF1082" s="1289"/>
      <c r="AG1082" s="1289"/>
      <c r="AH1082" s="1289"/>
      <c r="AI1082" s="1289"/>
      <c r="AJ1082" s="1289"/>
      <c r="AK1082" s="1289"/>
      <c r="AL1082" s="1289"/>
      <c r="AM1082" s="1289"/>
      <c r="AN1082" s="1289"/>
      <c r="AO1082" s="1289"/>
      <c r="AP1082" s="1289"/>
      <c r="AQ1082" s="1289"/>
      <c r="AR1082" s="1289"/>
      <c r="AS1082" s="11"/>
    </row>
    <row r="1083" spans="1:51" ht="13" customHeight="1">
      <c r="A1083" s="2"/>
      <c r="B1083" s="2"/>
      <c r="C1083" s="1357"/>
      <c r="D1083" s="1357"/>
      <c r="E1083" s="1289"/>
      <c r="F1083" s="1289"/>
      <c r="G1083" s="1289"/>
      <c r="H1083" s="1289"/>
      <c r="I1083" s="1289"/>
      <c r="J1083" s="1289"/>
      <c r="K1083" s="1289"/>
      <c r="L1083" s="1289"/>
      <c r="M1083" s="1289"/>
      <c r="N1083" s="1289"/>
      <c r="O1083" s="1289"/>
      <c r="P1083" s="1289"/>
      <c r="Q1083" s="1289"/>
      <c r="R1083" s="1289"/>
      <c r="S1083" s="1289"/>
      <c r="T1083" s="1289"/>
      <c r="U1083" s="1289"/>
      <c r="V1083" s="1289"/>
      <c r="W1083" s="1289"/>
      <c r="X1083" s="1289"/>
      <c r="Y1083" s="1289"/>
      <c r="Z1083" s="1289"/>
      <c r="AA1083" s="1289"/>
      <c r="AB1083" s="1289"/>
      <c r="AC1083" s="1289"/>
      <c r="AD1083" s="1289"/>
      <c r="AE1083" s="1289"/>
      <c r="AF1083" s="1289"/>
      <c r="AG1083" s="1289"/>
      <c r="AH1083" s="1289"/>
      <c r="AI1083" s="1289"/>
      <c r="AJ1083" s="1289"/>
      <c r="AK1083" s="1289"/>
      <c r="AL1083" s="1289"/>
      <c r="AM1083" s="1289"/>
      <c r="AN1083" s="1289"/>
      <c r="AO1083" s="1289"/>
      <c r="AP1083" s="1289"/>
      <c r="AQ1083" s="1289"/>
      <c r="AR1083" s="1289"/>
      <c r="AS1083" s="11"/>
    </row>
    <row r="1084" spans="1:51" ht="13" customHeight="1">
      <c r="A1084" s="68"/>
      <c r="B1084" s="19"/>
      <c r="C1084" s="1357"/>
      <c r="D1084" s="1357"/>
      <c r="E1084" s="1126"/>
      <c r="F1084" s="1126"/>
      <c r="G1084" s="1126"/>
      <c r="H1084" s="1126"/>
      <c r="I1084" s="1126"/>
      <c r="J1084" s="1126"/>
      <c r="K1084" s="1126"/>
      <c r="L1084" s="1126"/>
      <c r="M1084" s="1126"/>
      <c r="N1084" s="1126"/>
      <c r="O1084" s="1126"/>
      <c r="P1084" s="1126"/>
      <c r="Q1084" s="1126"/>
      <c r="R1084" s="1126"/>
      <c r="S1084" s="1126"/>
      <c r="T1084" s="1126"/>
      <c r="U1084" s="1126"/>
      <c r="V1084" s="1126"/>
      <c r="W1084" s="1126"/>
      <c r="X1084" s="1126"/>
      <c r="Y1084" s="1126"/>
      <c r="Z1084" s="1126"/>
      <c r="AA1084" s="1126"/>
      <c r="AB1084" s="1126"/>
      <c r="AC1084" s="1126"/>
      <c r="AD1084" s="1126"/>
      <c r="AE1084" s="1126"/>
      <c r="AF1084" s="1126"/>
      <c r="AG1084" s="1126"/>
      <c r="AH1084" s="1126"/>
      <c r="AI1084" s="1126"/>
      <c r="AJ1084" s="1126"/>
      <c r="AK1084" s="1126"/>
      <c r="AS1084" s="11"/>
    </row>
    <row r="1085" spans="1:51" ht="13" customHeight="1">
      <c r="A1085" s="1367" t="s">
        <v>798</v>
      </c>
      <c r="B1085" s="1367"/>
      <c r="C1085" s="1357">
        <v>6</v>
      </c>
      <c r="D1085" s="1357"/>
      <c r="E1085" s="1289" t="s">
        <v>1739</v>
      </c>
      <c r="F1085" s="1289"/>
      <c r="G1085" s="1289"/>
      <c r="H1085" s="1289"/>
      <c r="I1085" s="1289"/>
      <c r="J1085" s="1289"/>
      <c r="K1085" s="1289"/>
      <c r="L1085" s="1289"/>
      <c r="M1085" s="1289"/>
      <c r="N1085" s="1289"/>
      <c r="O1085" s="1289"/>
      <c r="P1085" s="1289"/>
      <c r="Q1085" s="1289"/>
      <c r="R1085" s="1289"/>
      <c r="S1085" s="1289"/>
      <c r="T1085" s="1289"/>
      <c r="U1085" s="1289"/>
      <c r="V1085" s="1289"/>
      <c r="W1085" s="1289"/>
      <c r="X1085" s="1289"/>
      <c r="Y1085" s="1289"/>
      <c r="Z1085" s="1289"/>
      <c r="AA1085" s="1289"/>
      <c r="AB1085" s="1289"/>
      <c r="AC1085" s="1289"/>
      <c r="AD1085" s="1289"/>
      <c r="AE1085" s="1289"/>
      <c r="AF1085" s="1289"/>
      <c r="AG1085" s="1289"/>
      <c r="AH1085" s="1289"/>
      <c r="AI1085" s="1289"/>
      <c r="AJ1085" s="1289"/>
      <c r="AK1085" s="1289"/>
      <c r="AL1085" s="1289"/>
      <c r="AM1085" s="1289"/>
      <c r="AN1085" s="1289"/>
      <c r="AO1085" s="1289"/>
      <c r="AP1085" s="1289"/>
      <c r="AQ1085" s="1289"/>
      <c r="AR1085" s="1289"/>
      <c r="AS1085" s="11"/>
    </row>
    <row r="1086" spans="1:51" ht="13" customHeight="1">
      <c r="A1086" s="1146"/>
      <c r="B1086" s="1146"/>
      <c r="C1086" s="1146"/>
      <c r="D1086" s="1146"/>
      <c r="E1086" s="1289"/>
      <c r="F1086" s="1289"/>
      <c r="G1086" s="1289"/>
      <c r="H1086" s="1289"/>
      <c r="I1086" s="1289"/>
      <c r="J1086" s="1289"/>
      <c r="K1086" s="1289"/>
      <c r="L1086" s="1289"/>
      <c r="M1086" s="1289"/>
      <c r="N1086" s="1289"/>
      <c r="O1086" s="1289"/>
      <c r="P1086" s="1289"/>
      <c r="Q1086" s="1289"/>
      <c r="R1086" s="1289"/>
      <c r="S1086" s="1289"/>
      <c r="T1086" s="1289"/>
      <c r="U1086" s="1289"/>
      <c r="V1086" s="1289"/>
      <c r="W1086" s="1289"/>
      <c r="X1086" s="1289"/>
      <c r="Y1086" s="1289"/>
      <c r="Z1086" s="1289"/>
      <c r="AA1086" s="1289"/>
      <c r="AB1086" s="1289"/>
      <c r="AC1086" s="1289"/>
      <c r="AD1086" s="1289"/>
      <c r="AE1086" s="1289"/>
      <c r="AF1086" s="1289"/>
      <c r="AG1086" s="1289"/>
      <c r="AH1086" s="1289"/>
      <c r="AI1086" s="1289"/>
      <c r="AJ1086" s="1289"/>
      <c r="AK1086" s="1289"/>
      <c r="AL1086" s="1289"/>
      <c r="AM1086" s="1289"/>
      <c r="AN1086" s="1289"/>
      <c r="AO1086" s="1289"/>
      <c r="AP1086" s="1289"/>
      <c r="AQ1086" s="1289"/>
      <c r="AR1086" s="1289"/>
      <c r="AS1086" s="11"/>
    </row>
    <row r="1087" spans="1:51" ht="13" customHeight="1">
      <c r="A1087" s="1146"/>
      <c r="B1087" s="1146"/>
      <c r="C1087" s="1357"/>
      <c r="D1087" s="1357"/>
      <c r="E1087" s="1289"/>
      <c r="F1087" s="1289"/>
      <c r="G1087" s="1289"/>
      <c r="H1087" s="1289"/>
      <c r="I1087" s="1289"/>
      <c r="J1087" s="1289"/>
      <c r="K1087" s="1289"/>
      <c r="L1087" s="1289"/>
      <c r="M1087" s="1289"/>
      <c r="N1087" s="1289"/>
      <c r="O1087" s="1289"/>
      <c r="P1087" s="1289"/>
      <c r="Q1087" s="1289"/>
      <c r="R1087" s="1289"/>
      <c r="S1087" s="1289"/>
      <c r="T1087" s="1289"/>
      <c r="U1087" s="1289"/>
      <c r="V1087" s="1289"/>
      <c r="W1087" s="1289"/>
      <c r="X1087" s="1289"/>
      <c r="Y1087" s="1289"/>
      <c r="Z1087" s="1289"/>
      <c r="AA1087" s="1289"/>
      <c r="AB1087" s="1289"/>
      <c r="AC1087" s="1289"/>
      <c r="AD1087" s="1289"/>
      <c r="AE1087" s="1289"/>
      <c r="AF1087" s="1289"/>
      <c r="AG1087" s="1289"/>
      <c r="AH1087" s="1289"/>
      <c r="AI1087" s="1289"/>
      <c r="AJ1087" s="1289"/>
      <c r="AK1087" s="1289"/>
      <c r="AL1087" s="1289"/>
      <c r="AM1087" s="1289"/>
      <c r="AN1087" s="1289"/>
      <c r="AO1087" s="1289"/>
      <c r="AP1087" s="1289"/>
      <c r="AQ1087" s="1289"/>
      <c r="AR1087" s="1289"/>
      <c r="AS1087" s="11"/>
    </row>
    <row r="1088" spans="1:51" ht="13" customHeight="1">
      <c r="A1088" s="68"/>
      <c r="B1088" s="19"/>
      <c r="C1088" s="1357"/>
      <c r="D1088" s="1357"/>
      <c r="E1088" s="1126"/>
      <c r="F1088" s="1126"/>
      <c r="G1088" s="1126"/>
      <c r="H1088" s="1126"/>
      <c r="I1088" s="1126"/>
      <c r="J1088" s="1126"/>
      <c r="K1088" s="1126"/>
      <c r="L1088" s="1126"/>
      <c r="M1088" s="1126"/>
      <c r="N1088" s="1126"/>
      <c r="O1088" s="1126"/>
      <c r="P1088" s="1126"/>
      <c r="Q1088" s="1126"/>
      <c r="R1088" s="1126"/>
      <c r="S1088" s="1126"/>
      <c r="T1088" s="1126"/>
      <c r="U1088" s="1126"/>
      <c r="V1088" s="1126"/>
      <c r="W1088" s="1126"/>
      <c r="X1088" s="1126"/>
      <c r="Y1088" s="1126"/>
      <c r="Z1088" s="1126"/>
      <c r="AA1088" s="1126"/>
      <c r="AB1088" s="1126"/>
      <c r="AC1088" s="1126"/>
      <c r="AD1088" s="1126"/>
      <c r="AE1088" s="1126"/>
      <c r="AF1088" s="1126"/>
      <c r="AG1088" s="1126"/>
      <c r="AH1088" s="1126"/>
      <c r="AI1088" s="1126"/>
      <c r="AJ1088" s="1126"/>
      <c r="AK1088" s="1126"/>
      <c r="AS1088" s="11"/>
    </row>
    <row r="1089" spans="1:45" ht="13" customHeight="1">
      <c r="A1089" s="1367" t="s">
        <v>798</v>
      </c>
      <c r="B1089" s="1367"/>
      <c r="C1089" s="1357">
        <v>7</v>
      </c>
      <c r="D1089" s="1357"/>
      <c r="E1089" s="1289" t="s">
        <v>1740</v>
      </c>
      <c r="F1089" s="1289"/>
      <c r="G1089" s="1289"/>
      <c r="H1089" s="1289"/>
      <c r="I1089" s="1289"/>
      <c r="J1089" s="1289"/>
      <c r="K1089" s="1289"/>
      <c r="L1089" s="1289"/>
      <c r="M1089" s="1289"/>
      <c r="N1089" s="1289"/>
      <c r="O1089" s="1289"/>
      <c r="P1089" s="1289"/>
      <c r="Q1089" s="1289"/>
      <c r="R1089" s="1289"/>
      <c r="S1089" s="1289"/>
      <c r="T1089" s="1289"/>
      <c r="U1089" s="1289"/>
      <c r="V1089" s="1289"/>
      <c r="W1089" s="1289"/>
      <c r="X1089" s="1289"/>
      <c r="Y1089" s="1289"/>
      <c r="Z1089" s="1289"/>
      <c r="AA1089" s="1289"/>
      <c r="AB1089" s="1289"/>
      <c r="AC1089" s="1289"/>
      <c r="AD1089" s="1289"/>
      <c r="AE1089" s="1289"/>
      <c r="AF1089" s="1289"/>
      <c r="AG1089" s="1289"/>
      <c r="AH1089" s="1289"/>
      <c r="AI1089" s="1289"/>
      <c r="AJ1089" s="1289"/>
      <c r="AK1089" s="1289"/>
      <c r="AL1089" s="1289"/>
      <c r="AM1089" s="1289"/>
      <c r="AN1089" s="1289"/>
      <c r="AO1089" s="1289"/>
      <c r="AP1089" s="1289"/>
      <c r="AQ1089" s="1289"/>
      <c r="AR1089" s="1289"/>
      <c r="AS1089" s="11"/>
    </row>
    <row r="1090" spans="1:45" ht="13" customHeight="1">
      <c r="A1090" s="1146"/>
      <c r="B1090" s="1146"/>
      <c r="C1090" s="1357"/>
      <c r="D1090" s="1357"/>
      <c r="E1090" s="1289"/>
      <c r="F1090" s="1289"/>
      <c r="G1090" s="1289"/>
      <c r="H1090" s="1289"/>
      <c r="I1090" s="1289"/>
      <c r="J1090" s="1289"/>
      <c r="K1090" s="1289"/>
      <c r="L1090" s="1289"/>
      <c r="M1090" s="1289"/>
      <c r="N1090" s="1289"/>
      <c r="O1090" s="1289"/>
      <c r="P1090" s="1289"/>
      <c r="Q1090" s="1289"/>
      <c r="R1090" s="1289"/>
      <c r="S1090" s="1289"/>
      <c r="T1090" s="1289"/>
      <c r="U1090" s="1289"/>
      <c r="V1090" s="1289"/>
      <c r="W1090" s="1289"/>
      <c r="X1090" s="1289"/>
      <c r="Y1090" s="1289"/>
      <c r="Z1090" s="1289"/>
      <c r="AA1090" s="1289"/>
      <c r="AB1090" s="1289"/>
      <c r="AC1090" s="1289"/>
      <c r="AD1090" s="1289"/>
      <c r="AE1090" s="1289"/>
      <c r="AF1090" s="1289"/>
      <c r="AG1090" s="1289"/>
      <c r="AH1090" s="1289"/>
      <c r="AI1090" s="1289"/>
      <c r="AJ1090" s="1289"/>
      <c r="AK1090" s="1289"/>
      <c r="AL1090" s="1289"/>
      <c r="AM1090" s="1289"/>
      <c r="AN1090" s="1289"/>
      <c r="AO1090" s="1289"/>
      <c r="AP1090" s="1289"/>
      <c r="AQ1090" s="1289"/>
      <c r="AR1090" s="1289"/>
      <c r="AS1090" s="11"/>
    </row>
    <row r="1091" spans="1:45" ht="13" customHeight="1">
      <c r="A1091" s="1146"/>
      <c r="B1091" s="1146"/>
      <c r="C1091" s="1357"/>
      <c r="D1091" s="1357"/>
      <c r="E1091" s="1289"/>
      <c r="F1091" s="1289"/>
      <c r="G1091" s="1289"/>
      <c r="H1091" s="1289"/>
      <c r="I1091" s="1289"/>
      <c r="J1091" s="1289"/>
      <c r="K1091" s="1289"/>
      <c r="L1091" s="1289"/>
      <c r="M1091" s="1289"/>
      <c r="N1091" s="1289"/>
      <c r="O1091" s="1289"/>
      <c r="P1091" s="1289"/>
      <c r="Q1091" s="1289"/>
      <c r="R1091" s="1289"/>
      <c r="S1091" s="1289"/>
      <c r="T1091" s="1289"/>
      <c r="U1091" s="1289"/>
      <c r="V1091" s="1289"/>
      <c r="W1091" s="1289"/>
      <c r="X1091" s="1289"/>
      <c r="Y1091" s="1289"/>
      <c r="Z1091" s="1289"/>
      <c r="AA1091" s="1289"/>
      <c r="AB1091" s="1289"/>
      <c r="AC1091" s="1289"/>
      <c r="AD1091" s="1289"/>
      <c r="AE1091" s="1289"/>
      <c r="AF1091" s="1289"/>
      <c r="AG1091" s="1289"/>
      <c r="AH1091" s="1289"/>
      <c r="AI1091" s="1289"/>
      <c r="AJ1091" s="1289"/>
      <c r="AK1091" s="1289"/>
      <c r="AL1091" s="1289"/>
      <c r="AM1091" s="1289"/>
      <c r="AN1091" s="1289"/>
      <c r="AO1091" s="1289"/>
      <c r="AP1091" s="1289"/>
      <c r="AQ1091" s="1289"/>
      <c r="AR1091" s="1289"/>
      <c r="AS1091" s="11"/>
    </row>
    <row r="1092" spans="1:45" ht="13" customHeight="1">
      <c r="A1092" s="1146"/>
      <c r="B1092" s="1146"/>
      <c r="C1092" s="1357"/>
      <c r="D1092" s="1357"/>
      <c r="E1092" s="1126"/>
      <c r="F1092" s="1126"/>
      <c r="G1092" s="1126"/>
      <c r="H1092" s="1126"/>
      <c r="I1092" s="1126"/>
      <c r="J1092" s="1126"/>
      <c r="K1092" s="1126"/>
      <c r="L1092" s="1126"/>
      <c r="M1092" s="1126"/>
      <c r="N1092" s="1126"/>
      <c r="O1092" s="1126"/>
      <c r="P1092" s="1126"/>
      <c r="Q1092" s="1126"/>
      <c r="R1092" s="1126"/>
      <c r="S1092" s="1126"/>
      <c r="T1092" s="1126"/>
      <c r="U1092" s="1126"/>
      <c r="V1092" s="1126"/>
      <c r="W1092" s="1126"/>
      <c r="X1092" s="1126"/>
      <c r="Y1092" s="1126"/>
      <c r="Z1092" s="1126"/>
      <c r="AA1092" s="1126"/>
      <c r="AB1092" s="1126"/>
      <c r="AC1092" s="1126"/>
      <c r="AD1092" s="1126"/>
      <c r="AE1092" s="1126"/>
      <c r="AF1092" s="1126"/>
      <c r="AG1092" s="1126"/>
      <c r="AH1092" s="1126"/>
      <c r="AI1092" s="1126"/>
      <c r="AJ1092" s="1126"/>
      <c r="AK1092" s="1126"/>
    </row>
    <row r="1093" spans="1:45" ht="13" customHeight="1">
      <c r="A1093" s="68"/>
      <c r="B1093" s="19"/>
      <c r="C1093" s="1357"/>
      <c r="D1093" s="1357"/>
      <c r="E1093" s="1126"/>
      <c r="F1093" s="1126"/>
      <c r="G1093" s="1126"/>
      <c r="H1093" s="1126"/>
      <c r="I1093" s="1126"/>
      <c r="J1093" s="1126"/>
      <c r="K1093" s="1126"/>
      <c r="L1093" s="1126"/>
      <c r="M1093" s="1126"/>
      <c r="N1093" s="1126"/>
      <c r="O1093" s="1126"/>
      <c r="P1093" s="1126"/>
      <c r="Q1093" s="1126"/>
      <c r="R1093" s="1126"/>
      <c r="S1093" s="1126"/>
      <c r="T1093" s="1126"/>
      <c r="U1093" s="1126"/>
      <c r="V1093" s="1126"/>
      <c r="W1093" s="1126"/>
      <c r="X1093" s="1126"/>
      <c r="Y1093" s="1126"/>
      <c r="Z1093" s="1126"/>
      <c r="AA1093" s="1126"/>
      <c r="AB1093" s="1126"/>
      <c r="AC1093" s="1126"/>
      <c r="AD1093" s="1126"/>
      <c r="AE1093" s="1126"/>
      <c r="AF1093" s="1126"/>
      <c r="AG1093" s="1126"/>
      <c r="AH1093" s="1126"/>
      <c r="AI1093" s="1126"/>
      <c r="AJ1093" s="1126"/>
      <c r="AK1093" s="1126"/>
    </row>
    <row r="1094" spans="1:45" ht="13" customHeight="1">
      <c r="A1094" s="1367" t="s">
        <v>798</v>
      </c>
      <c r="B1094" s="1367"/>
      <c r="C1094" s="1357">
        <v>8</v>
      </c>
      <c r="D1094" s="1357"/>
      <c r="E1094" s="1289" t="s">
        <v>1741</v>
      </c>
      <c r="F1094" s="1289"/>
      <c r="G1094" s="1289"/>
      <c r="H1094" s="1289"/>
      <c r="I1094" s="1289"/>
      <c r="J1094" s="1289"/>
      <c r="K1094" s="1289"/>
      <c r="L1094" s="1289"/>
      <c r="M1094" s="1289"/>
      <c r="N1094" s="1289"/>
      <c r="O1094" s="1289"/>
      <c r="P1094" s="1289"/>
      <c r="Q1094" s="1289"/>
      <c r="R1094" s="1289"/>
      <c r="S1094" s="1289"/>
      <c r="T1094" s="1289"/>
      <c r="U1094" s="1289"/>
      <c r="V1094" s="1289"/>
      <c r="W1094" s="1289"/>
      <c r="X1094" s="1289"/>
      <c r="Y1094" s="1289"/>
      <c r="Z1094" s="1289"/>
      <c r="AA1094" s="1289"/>
      <c r="AB1094" s="1289"/>
      <c r="AC1094" s="1289"/>
      <c r="AD1094" s="1289"/>
      <c r="AE1094" s="1289"/>
      <c r="AF1094" s="1289"/>
      <c r="AG1094" s="1289"/>
      <c r="AH1094" s="1289"/>
      <c r="AI1094" s="1289"/>
      <c r="AJ1094" s="1289"/>
      <c r="AK1094" s="1289"/>
      <c r="AL1094" s="1289"/>
      <c r="AM1094" s="1289"/>
      <c r="AN1094" s="1289"/>
      <c r="AO1094" s="1289"/>
      <c r="AP1094" s="1289"/>
      <c r="AQ1094" s="1289"/>
      <c r="AR1094" s="1289"/>
    </row>
    <row r="1095" spans="1:45" ht="13" customHeight="1">
      <c r="A1095" s="68"/>
      <c r="B1095" s="19"/>
      <c r="C1095" s="1357"/>
      <c r="D1095" s="1357"/>
      <c r="E1095" s="1289"/>
      <c r="F1095" s="1289"/>
      <c r="G1095" s="1289"/>
      <c r="H1095" s="1289"/>
      <c r="I1095" s="1289"/>
      <c r="J1095" s="1289"/>
      <c r="K1095" s="1289"/>
      <c r="L1095" s="1289"/>
      <c r="M1095" s="1289"/>
      <c r="N1095" s="1289"/>
      <c r="O1095" s="1289"/>
      <c r="P1095" s="1289"/>
      <c r="Q1095" s="1289"/>
      <c r="R1095" s="1289"/>
      <c r="S1095" s="1289"/>
      <c r="T1095" s="1289"/>
      <c r="U1095" s="1289"/>
      <c r="V1095" s="1289"/>
      <c r="W1095" s="1289"/>
      <c r="X1095" s="1289"/>
      <c r="Y1095" s="1289"/>
      <c r="Z1095" s="1289"/>
      <c r="AA1095" s="1289"/>
      <c r="AB1095" s="1289"/>
      <c r="AC1095" s="1289"/>
      <c r="AD1095" s="1289"/>
      <c r="AE1095" s="1289"/>
      <c r="AF1095" s="1289"/>
      <c r="AG1095" s="1289"/>
      <c r="AH1095" s="1289"/>
      <c r="AI1095" s="1289"/>
      <c r="AJ1095" s="1289"/>
      <c r="AK1095" s="1289"/>
      <c r="AL1095" s="1289"/>
      <c r="AM1095" s="1289"/>
      <c r="AN1095" s="1289"/>
      <c r="AO1095" s="1289"/>
      <c r="AP1095" s="1289"/>
      <c r="AQ1095" s="1289"/>
      <c r="AR1095" s="1289"/>
    </row>
    <row r="1096" spans="1:45" ht="13" customHeight="1">
      <c r="A1096" s="68"/>
      <c r="B1096" s="19"/>
      <c r="C1096" s="1357"/>
      <c r="D1096" s="1357"/>
      <c r="E1096" s="1126"/>
      <c r="F1096" s="1126"/>
      <c r="G1096" s="1126"/>
      <c r="H1096" s="1126"/>
      <c r="I1096" s="1126"/>
      <c r="J1096" s="1126"/>
      <c r="K1096" s="1126"/>
      <c r="L1096" s="1126"/>
      <c r="M1096" s="1126"/>
      <c r="N1096" s="1126"/>
      <c r="O1096" s="1126"/>
      <c r="P1096" s="1126"/>
      <c r="Q1096" s="1126"/>
      <c r="R1096" s="1126"/>
      <c r="S1096" s="1126"/>
      <c r="T1096" s="1126"/>
      <c r="U1096" s="1126"/>
      <c r="V1096" s="1126"/>
      <c r="W1096" s="1126"/>
      <c r="X1096" s="1126"/>
      <c r="Y1096" s="1126"/>
      <c r="Z1096" s="1126"/>
      <c r="AA1096" s="1126"/>
      <c r="AB1096" s="1126"/>
      <c r="AC1096" s="1126"/>
      <c r="AD1096" s="1126"/>
      <c r="AE1096" s="1126"/>
      <c r="AF1096" s="1126"/>
      <c r="AG1096" s="1126"/>
      <c r="AH1096" s="1126"/>
      <c r="AI1096" s="1126"/>
      <c r="AJ1096" s="1126"/>
      <c r="AK1096" s="1126"/>
    </row>
    <row r="1097" spans="1:45" ht="13" customHeight="1">
      <c r="A1097" s="1367" t="s">
        <v>798</v>
      </c>
      <c r="B1097" s="1367"/>
      <c r="C1097" s="1574">
        <v>9</v>
      </c>
      <c r="D1097" s="1574"/>
      <c r="E1097" s="1289" t="s">
        <v>1742</v>
      </c>
      <c r="F1097" s="1289"/>
      <c r="G1097" s="1289"/>
      <c r="H1097" s="1289"/>
      <c r="I1097" s="1289"/>
      <c r="J1097" s="1289"/>
      <c r="K1097" s="1289"/>
      <c r="L1097" s="1289"/>
      <c r="M1097" s="1289"/>
      <c r="N1097" s="1289"/>
      <c r="O1097" s="1289"/>
      <c r="P1097" s="1289"/>
      <c r="Q1097" s="1289"/>
      <c r="R1097" s="1289"/>
      <c r="S1097" s="1289"/>
      <c r="T1097" s="1289"/>
      <c r="U1097" s="1289"/>
      <c r="V1097" s="1289"/>
      <c r="W1097" s="1289"/>
      <c r="X1097" s="1289"/>
      <c r="Y1097" s="1289"/>
      <c r="Z1097" s="1289"/>
      <c r="AA1097" s="1289"/>
      <c r="AB1097" s="1289"/>
      <c r="AC1097" s="1289"/>
      <c r="AD1097" s="1289"/>
      <c r="AE1097" s="1289"/>
      <c r="AF1097" s="1289"/>
      <c r="AG1097" s="1289"/>
      <c r="AH1097" s="1289"/>
      <c r="AI1097" s="1289"/>
      <c r="AJ1097" s="1289"/>
      <c r="AK1097" s="1289"/>
      <c r="AL1097" s="1289"/>
      <c r="AM1097" s="1289"/>
      <c r="AN1097" s="1289"/>
      <c r="AO1097" s="1289"/>
      <c r="AP1097" s="1289"/>
      <c r="AQ1097" s="1289"/>
      <c r="AR1097" s="1289"/>
    </row>
    <row r="1098" spans="1:45" ht="13" customHeight="1">
      <c r="A1098" s="1146"/>
      <c r="B1098" s="1146"/>
      <c r="C1098" s="1574"/>
      <c r="D1098" s="1574"/>
      <c r="E1098" s="1289"/>
      <c r="F1098" s="1289"/>
      <c r="G1098" s="1289"/>
      <c r="H1098" s="1289"/>
      <c r="I1098" s="1289"/>
      <c r="J1098" s="1289"/>
      <c r="K1098" s="1289"/>
      <c r="L1098" s="1289"/>
      <c r="M1098" s="1289"/>
      <c r="N1098" s="1289"/>
      <c r="O1098" s="1289"/>
      <c r="P1098" s="1289"/>
      <c r="Q1098" s="1289"/>
      <c r="R1098" s="1289"/>
      <c r="S1098" s="1289"/>
      <c r="T1098" s="1289"/>
      <c r="U1098" s="1289"/>
      <c r="V1098" s="1289"/>
      <c r="W1098" s="1289"/>
      <c r="X1098" s="1289"/>
      <c r="Y1098" s="1289"/>
      <c r="Z1098" s="1289"/>
      <c r="AA1098" s="1289"/>
      <c r="AB1098" s="1289"/>
      <c r="AC1098" s="1289"/>
      <c r="AD1098" s="1289"/>
      <c r="AE1098" s="1289"/>
      <c r="AF1098" s="1289"/>
      <c r="AG1098" s="1289"/>
      <c r="AH1098" s="1289"/>
      <c r="AI1098" s="1289"/>
      <c r="AJ1098" s="1289"/>
      <c r="AK1098" s="1289"/>
      <c r="AL1098" s="1289"/>
      <c r="AM1098" s="1289"/>
      <c r="AN1098" s="1289"/>
      <c r="AO1098" s="1289"/>
      <c r="AP1098" s="1289"/>
      <c r="AQ1098" s="1289"/>
      <c r="AR1098" s="1289"/>
    </row>
    <row r="1099" spans="1:45" ht="13" customHeight="1">
      <c r="A1099" s="68"/>
      <c r="B1099" s="19"/>
      <c r="C1099" s="1574"/>
      <c r="D1099" s="1574"/>
      <c r="E1099" s="1126"/>
      <c r="F1099" s="1126"/>
      <c r="G1099" s="1126"/>
      <c r="H1099" s="1126"/>
      <c r="I1099" s="1126"/>
      <c r="J1099" s="1126"/>
      <c r="K1099" s="1126"/>
      <c r="L1099" s="1126"/>
      <c r="M1099" s="1126"/>
      <c r="N1099" s="1126"/>
      <c r="O1099" s="1126"/>
      <c r="P1099" s="1126"/>
      <c r="Q1099" s="1126"/>
      <c r="R1099" s="1126"/>
      <c r="S1099" s="1126"/>
      <c r="T1099" s="1126"/>
      <c r="U1099" s="1126"/>
      <c r="V1099" s="1126"/>
      <c r="W1099" s="1126"/>
      <c r="X1099" s="1126"/>
      <c r="Y1099" s="1126"/>
      <c r="Z1099" s="1126"/>
      <c r="AA1099" s="1126"/>
      <c r="AB1099" s="1126"/>
      <c r="AC1099" s="1126"/>
      <c r="AD1099" s="1126"/>
      <c r="AE1099" s="1126"/>
      <c r="AF1099" s="1126"/>
      <c r="AG1099" s="1126"/>
      <c r="AH1099" s="1126"/>
      <c r="AI1099" s="1126"/>
      <c r="AJ1099" s="1126"/>
      <c r="AK1099" s="1126"/>
    </row>
    <row r="1100" spans="1:45" ht="13" customHeight="1">
      <c r="A1100" s="1367" t="s">
        <v>798</v>
      </c>
      <c r="B1100" s="1367"/>
      <c r="C1100" s="1574">
        <v>10</v>
      </c>
      <c r="D1100" s="1574"/>
      <c r="E1100" s="1786" t="s">
        <v>1743</v>
      </c>
      <c r="F1100" s="1786"/>
      <c r="G1100" s="1786"/>
      <c r="H1100" s="1786"/>
      <c r="I1100" s="1786"/>
      <c r="J1100" s="1786"/>
      <c r="K1100" s="1786"/>
      <c r="L1100" s="1786"/>
      <c r="M1100" s="1786"/>
      <c r="N1100" s="1786"/>
      <c r="O1100" s="1786"/>
      <c r="P1100" s="1786"/>
      <c r="Q1100" s="1786"/>
      <c r="R1100" s="1786"/>
      <c r="S1100" s="1786"/>
      <c r="T1100" s="1786"/>
      <c r="U1100" s="1786"/>
      <c r="V1100" s="1786"/>
      <c r="W1100" s="1786"/>
      <c r="X1100" s="1786"/>
      <c r="Y1100" s="1786"/>
      <c r="Z1100" s="1786"/>
      <c r="AA1100" s="1786"/>
      <c r="AB1100" s="1786"/>
      <c r="AC1100" s="1786"/>
      <c r="AD1100" s="1786"/>
      <c r="AE1100" s="1786"/>
      <c r="AF1100" s="1786"/>
      <c r="AG1100" s="1786"/>
      <c r="AH1100" s="1786"/>
      <c r="AI1100" s="1786"/>
      <c r="AJ1100" s="1786"/>
      <c r="AK1100" s="1786"/>
      <c r="AL1100" s="1786"/>
      <c r="AM1100" s="1786"/>
      <c r="AN1100" s="1786"/>
      <c r="AO1100" s="1786"/>
      <c r="AP1100" s="1786"/>
      <c r="AQ1100" s="1786"/>
      <c r="AR1100" s="1786"/>
    </row>
    <row r="1101" spans="1:45" ht="13" customHeight="1">
      <c r="A1101" s="1146"/>
      <c r="B1101" s="1146"/>
      <c r="C1101" s="1083"/>
      <c r="D1101" s="1145"/>
      <c r="E1101" s="1786"/>
      <c r="F1101" s="1786"/>
      <c r="G1101" s="1786"/>
      <c r="H1101" s="1786"/>
      <c r="I1101" s="1786"/>
      <c r="J1101" s="1786"/>
      <c r="K1101" s="1786"/>
      <c r="L1101" s="1786"/>
      <c r="M1101" s="1786"/>
      <c r="N1101" s="1786"/>
      <c r="O1101" s="1786"/>
      <c r="P1101" s="1786"/>
      <c r="Q1101" s="1786"/>
      <c r="R1101" s="1786"/>
      <c r="S1101" s="1786"/>
      <c r="T1101" s="1786"/>
      <c r="U1101" s="1786"/>
      <c r="V1101" s="1786"/>
      <c r="W1101" s="1786"/>
      <c r="X1101" s="1786"/>
      <c r="Y1101" s="1786"/>
      <c r="Z1101" s="1786"/>
      <c r="AA1101" s="1786"/>
      <c r="AB1101" s="1786"/>
      <c r="AC1101" s="1786"/>
      <c r="AD1101" s="1786"/>
      <c r="AE1101" s="1786"/>
      <c r="AF1101" s="1786"/>
      <c r="AG1101" s="1786"/>
      <c r="AH1101" s="1786"/>
      <c r="AI1101" s="1786"/>
      <c r="AJ1101" s="1786"/>
      <c r="AK1101" s="1786"/>
      <c r="AL1101" s="1786"/>
      <c r="AM1101" s="1786"/>
      <c r="AN1101" s="1786"/>
      <c r="AO1101" s="1786"/>
      <c r="AP1101" s="1786"/>
      <c r="AQ1101" s="1786"/>
      <c r="AR1101" s="1786"/>
    </row>
    <row r="1102" spans="1:45" ht="13" customHeight="1">
      <c r="A1102" s="1146"/>
      <c r="B1102" s="1146"/>
      <c r="C1102" s="1083"/>
      <c r="D1102" s="1145"/>
      <c r="E1102" s="1145"/>
      <c r="F1102" s="1145"/>
      <c r="G1102" s="1145"/>
      <c r="H1102" s="1145"/>
      <c r="I1102" s="1145"/>
      <c r="J1102" s="1145"/>
      <c r="K1102" s="1145"/>
      <c r="L1102" s="1145"/>
      <c r="M1102" s="1145"/>
      <c r="N1102" s="1145"/>
      <c r="O1102" s="1145"/>
      <c r="P1102" s="1145"/>
      <c r="Q1102" s="1145"/>
      <c r="R1102" s="1145"/>
      <c r="S1102" s="1145"/>
      <c r="T1102" s="1145"/>
      <c r="U1102" s="1145"/>
      <c r="V1102" s="1145"/>
      <c r="W1102" s="1145"/>
      <c r="X1102" s="1145"/>
      <c r="Y1102" s="1145"/>
      <c r="Z1102" s="1145"/>
      <c r="AA1102" s="1145"/>
      <c r="AB1102" s="1145"/>
      <c r="AC1102" s="1145"/>
      <c r="AD1102" s="1145"/>
      <c r="AE1102" s="1145"/>
      <c r="AF1102" s="1145"/>
      <c r="AG1102" s="1145"/>
      <c r="AH1102" s="1145"/>
      <c r="AI1102" s="1145"/>
      <c r="AJ1102" s="1145"/>
      <c r="AK1102" s="1145"/>
    </row>
    <row r="1103" spans="1:45" ht="13" customHeight="1">
      <c r="A1103" s="1367" t="s">
        <v>798</v>
      </c>
      <c r="B1103" s="1367"/>
      <c r="C1103" s="1574">
        <v>11</v>
      </c>
      <c r="D1103" s="1574"/>
      <c r="E1103" s="1786" t="s">
        <v>1744</v>
      </c>
      <c r="F1103" s="1786"/>
      <c r="G1103" s="1786"/>
      <c r="H1103" s="1786"/>
      <c r="I1103" s="1786"/>
      <c r="J1103" s="1786"/>
      <c r="K1103" s="1786"/>
      <c r="L1103" s="1786"/>
      <c r="M1103" s="1786"/>
      <c r="N1103" s="1786"/>
      <c r="O1103" s="1786"/>
      <c r="P1103" s="1786"/>
      <c r="Q1103" s="1786"/>
      <c r="R1103" s="1786"/>
      <c r="S1103" s="1786"/>
      <c r="T1103" s="1786"/>
      <c r="U1103" s="1786"/>
      <c r="V1103" s="1786"/>
      <c r="W1103" s="1786"/>
      <c r="X1103" s="1786"/>
      <c r="Y1103" s="1786"/>
      <c r="Z1103" s="1786"/>
      <c r="AA1103" s="1786"/>
      <c r="AB1103" s="1786"/>
      <c r="AC1103" s="1786"/>
      <c r="AD1103" s="1786"/>
      <c r="AE1103" s="1786"/>
      <c r="AF1103" s="1786"/>
      <c r="AG1103" s="1786"/>
      <c r="AH1103" s="1786"/>
      <c r="AI1103" s="1786"/>
      <c r="AJ1103" s="1786"/>
      <c r="AK1103" s="1786"/>
      <c r="AL1103" s="1786"/>
      <c r="AM1103" s="1786"/>
      <c r="AN1103" s="1786"/>
      <c r="AO1103" s="1786"/>
      <c r="AP1103" s="1786"/>
      <c r="AQ1103" s="1786"/>
      <c r="AR1103" s="1786"/>
    </row>
    <row r="1104" spans="1:45" ht="13" customHeight="1">
      <c r="A1104" s="1146"/>
      <c r="B1104" s="1146"/>
      <c r="C1104" s="1083"/>
      <c r="D1104" s="1145"/>
      <c r="E1104" s="1786"/>
      <c r="F1104" s="1786"/>
      <c r="G1104" s="1786"/>
      <c r="H1104" s="1786"/>
      <c r="I1104" s="1786"/>
      <c r="J1104" s="1786"/>
      <c r="K1104" s="1786"/>
      <c r="L1104" s="1786"/>
      <c r="M1104" s="1786"/>
      <c r="N1104" s="1786"/>
      <c r="O1104" s="1786"/>
      <c r="P1104" s="1786"/>
      <c r="Q1104" s="1786"/>
      <c r="R1104" s="1786"/>
      <c r="S1104" s="1786"/>
      <c r="T1104" s="1786"/>
      <c r="U1104" s="1786"/>
      <c r="V1104" s="1786"/>
      <c r="W1104" s="1786"/>
      <c r="X1104" s="1786"/>
      <c r="Y1104" s="1786"/>
      <c r="Z1104" s="1786"/>
      <c r="AA1104" s="1786"/>
      <c r="AB1104" s="1786"/>
      <c r="AC1104" s="1786"/>
      <c r="AD1104" s="1786"/>
      <c r="AE1104" s="1786"/>
      <c r="AF1104" s="1786"/>
      <c r="AG1104" s="1786"/>
      <c r="AH1104" s="1786"/>
      <c r="AI1104" s="1786"/>
      <c r="AJ1104" s="1786"/>
      <c r="AK1104" s="1786"/>
      <c r="AL1104" s="1786"/>
      <c r="AM1104" s="1786"/>
      <c r="AN1104" s="1786"/>
      <c r="AO1104" s="1786"/>
      <c r="AP1104" s="1786"/>
      <c r="AQ1104" s="1786"/>
      <c r="AR1104" s="1786"/>
    </row>
    <row r="1105" spans="1:37" ht="13" customHeight="1">
      <c r="A1105" s="1146"/>
      <c r="B1105" s="1146"/>
      <c r="C1105" s="1083"/>
      <c r="D1105" s="1145"/>
      <c r="E1105" s="1145"/>
      <c r="F1105" s="1145"/>
      <c r="G1105" s="1145"/>
      <c r="H1105" s="1145"/>
      <c r="I1105" s="1145"/>
      <c r="J1105" s="1145"/>
      <c r="K1105" s="1145"/>
      <c r="L1105" s="1145"/>
      <c r="M1105" s="1145"/>
      <c r="N1105" s="1145"/>
      <c r="O1105" s="1145"/>
      <c r="P1105" s="1145"/>
      <c r="Q1105" s="1145"/>
      <c r="R1105" s="1145"/>
      <c r="S1105" s="1145"/>
      <c r="T1105" s="1145"/>
      <c r="U1105" s="1145"/>
      <c r="V1105" s="1145"/>
      <c r="W1105" s="1145"/>
      <c r="X1105" s="1145"/>
      <c r="Y1105" s="1145"/>
      <c r="Z1105" s="1145"/>
      <c r="AA1105" s="1145"/>
      <c r="AB1105" s="1145"/>
      <c r="AC1105" s="1145"/>
      <c r="AD1105" s="1145"/>
      <c r="AE1105" s="1145"/>
      <c r="AF1105" s="1145"/>
      <c r="AG1105" s="1145"/>
      <c r="AH1105" s="1145"/>
      <c r="AI1105" s="1145"/>
      <c r="AJ1105" s="1145"/>
      <c r="AK1105" s="1145"/>
    </row>
    <row r="1106" spans="1:37" ht="13" hidden="1" customHeight="1">
      <c r="A1106" s="1146"/>
      <c r="B1106" s="1146"/>
      <c r="C1106" s="1083"/>
      <c r="D1106" s="1145"/>
      <c r="E1106" s="1145"/>
      <c r="F1106" s="1145"/>
      <c r="G1106" s="1145"/>
      <c r="H1106" s="1145"/>
      <c r="I1106" s="1145"/>
      <c r="J1106" s="1145"/>
      <c r="K1106" s="1145"/>
      <c r="L1106" s="1145"/>
      <c r="M1106" s="1145"/>
      <c r="N1106" s="1145"/>
      <c r="O1106" s="1145"/>
      <c r="P1106" s="1145"/>
      <c r="Q1106" s="1145"/>
      <c r="R1106" s="1145"/>
      <c r="S1106" s="1145"/>
      <c r="T1106" s="1145"/>
      <c r="U1106" s="1145"/>
      <c r="V1106" s="1145"/>
      <c r="W1106" s="1145"/>
      <c r="X1106" s="1145"/>
      <c r="Y1106" s="1145"/>
      <c r="Z1106" s="1145"/>
      <c r="AA1106" s="1145"/>
      <c r="AB1106" s="1145"/>
      <c r="AC1106" s="1145"/>
      <c r="AD1106" s="1145"/>
      <c r="AE1106" s="1145"/>
      <c r="AF1106" s="1145"/>
      <c r="AG1106" s="1145"/>
      <c r="AH1106" s="1145"/>
      <c r="AI1106" s="1145"/>
      <c r="AJ1106" s="1145"/>
      <c r="AK1106" s="1145"/>
    </row>
    <row r="1107" spans="1:37" ht="13" hidden="1" customHeight="1">
      <c r="A1107" s="1146"/>
      <c r="B1107" s="1146"/>
      <c r="C1107" s="1083"/>
      <c r="D1107" s="1145"/>
      <c r="E1107" s="1145"/>
      <c r="F1107" s="1145"/>
      <c r="G1107" s="1145"/>
      <c r="H1107" s="1145"/>
      <c r="I1107" s="1145"/>
      <c r="J1107" s="1145"/>
      <c r="K1107" s="1145"/>
      <c r="L1107" s="1145"/>
      <c r="M1107" s="1145"/>
      <c r="N1107" s="1145"/>
      <c r="O1107" s="1145"/>
      <c r="P1107" s="1145"/>
      <c r="Q1107" s="1145"/>
      <c r="R1107" s="1145"/>
      <c r="S1107" s="1145"/>
      <c r="T1107" s="1145"/>
      <c r="U1107" s="1145"/>
      <c r="V1107" s="1145"/>
      <c r="W1107" s="1145"/>
      <c r="X1107" s="1145"/>
      <c r="Y1107" s="1145"/>
      <c r="Z1107" s="1145"/>
      <c r="AA1107" s="1145"/>
      <c r="AB1107" s="1145"/>
      <c r="AC1107" s="1145"/>
      <c r="AD1107" s="1145"/>
      <c r="AE1107" s="1145"/>
      <c r="AF1107" s="1145"/>
      <c r="AG1107" s="1145"/>
      <c r="AH1107" s="1145"/>
      <c r="AI1107" s="1145"/>
      <c r="AJ1107" s="1145"/>
      <c r="AK1107" s="1145"/>
    </row>
    <row r="1108" spans="1:37" ht="13" hidden="1" customHeight="1">
      <c r="A1108" s="1146"/>
      <c r="B1108" s="1146"/>
      <c r="C1108" s="1083"/>
      <c r="D1108" s="1145"/>
      <c r="E1108" s="1145"/>
      <c r="F1108" s="1145"/>
      <c r="G1108" s="1145"/>
      <c r="H1108" s="1145"/>
      <c r="I1108" s="1145"/>
      <c r="J1108" s="1145"/>
      <c r="K1108" s="1145"/>
      <c r="L1108" s="1145"/>
      <c r="M1108" s="1145"/>
      <c r="N1108" s="1145"/>
      <c r="O1108" s="1145"/>
      <c r="P1108" s="1145"/>
      <c r="Q1108" s="1145"/>
      <c r="R1108" s="1145"/>
      <c r="S1108" s="1145"/>
      <c r="T1108" s="1145"/>
      <c r="U1108" s="1145"/>
      <c r="V1108" s="1145"/>
      <c r="W1108" s="1145"/>
      <c r="X1108" s="1145"/>
      <c r="Y1108" s="1145"/>
      <c r="Z1108" s="1145"/>
      <c r="AA1108" s="1145"/>
      <c r="AB1108" s="1145"/>
      <c r="AC1108" s="1145"/>
      <c r="AD1108" s="1145"/>
      <c r="AE1108" s="1145"/>
      <c r="AF1108" s="1145"/>
      <c r="AG1108" s="1145"/>
      <c r="AH1108" s="1145"/>
      <c r="AI1108" s="1145"/>
      <c r="AJ1108" s="1145"/>
      <c r="AK1108" s="1145"/>
    </row>
    <row r="1109" spans="1:37" ht="13" hidden="1" customHeight="1">
      <c r="A1109" s="1146"/>
      <c r="B1109" s="1146"/>
      <c r="C1109" s="1083"/>
      <c r="D1109" s="1145"/>
      <c r="E1109" s="1145"/>
      <c r="F1109" s="1145"/>
      <c r="G1109" s="1145"/>
      <c r="H1109" s="1145"/>
      <c r="I1109" s="1145"/>
      <c r="J1109" s="1145"/>
      <c r="K1109" s="1145"/>
      <c r="L1109" s="1145"/>
      <c r="M1109" s="1145"/>
      <c r="N1109" s="1145"/>
      <c r="O1109" s="1145"/>
      <c r="P1109" s="1145"/>
      <c r="Q1109" s="1145"/>
      <c r="R1109" s="1145"/>
      <c r="S1109" s="1145"/>
      <c r="T1109" s="1145"/>
      <c r="U1109" s="1145"/>
      <c r="V1109" s="1145"/>
      <c r="W1109" s="1145"/>
      <c r="X1109" s="1145"/>
      <c r="Y1109" s="1145"/>
      <c r="Z1109" s="1145"/>
      <c r="AA1109" s="1145"/>
      <c r="AB1109" s="1145"/>
      <c r="AC1109" s="1145"/>
      <c r="AD1109" s="1145"/>
      <c r="AE1109" s="1145"/>
      <c r="AF1109" s="1145"/>
      <c r="AG1109" s="1145"/>
      <c r="AH1109" s="1145"/>
      <c r="AI1109" s="1145"/>
      <c r="AJ1109" s="1145"/>
      <c r="AK1109" s="1145"/>
    </row>
    <row r="1110" spans="1:37" ht="13" hidden="1" customHeight="1">
      <c r="A1110" s="1146"/>
      <c r="B1110" s="1146"/>
      <c r="C1110" s="1083"/>
      <c r="D1110" s="1145"/>
      <c r="E1110" s="1145"/>
      <c r="F1110" s="1145"/>
      <c r="G1110" s="1145"/>
      <c r="H1110" s="1145"/>
      <c r="I1110" s="1145"/>
      <c r="J1110" s="1145"/>
      <c r="K1110" s="1145"/>
      <c r="L1110" s="1145"/>
      <c r="M1110" s="1145"/>
      <c r="N1110" s="1145"/>
      <c r="O1110" s="1145"/>
      <c r="P1110" s="1145"/>
      <c r="Q1110" s="1145"/>
      <c r="R1110" s="1145"/>
      <c r="S1110" s="1145"/>
      <c r="T1110" s="1145"/>
      <c r="U1110" s="1145"/>
      <c r="V1110" s="1145"/>
      <c r="W1110" s="1145"/>
      <c r="X1110" s="1145"/>
      <c r="Y1110" s="1145"/>
      <c r="Z1110" s="1145"/>
      <c r="AA1110" s="1145"/>
      <c r="AB1110" s="1145"/>
      <c r="AC1110" s="1145"/>
      <c r="AD1110" s="1145"/>
      <c r="AE1110" s="1145"/>
      <c r="AF1110" s="1145"/>
      <c r="AG1110" s="1145"/>
      <c r="AH1110" s="1145"/>
      <c r="AI1110" s="1145"/>
      <c r="AJ1110" s="1145"/>
      <c r="AK1110" s="1145"/>
    </row>
    <row r="1111" spans="1:37" ht="13" hidden="1" customHeight="1">
      <c r="A1111" s="1146"/>
      <c r="B1111" s="1146"/>
      <c r="C1111" s="1083"/>
      <c r="D1111" s="1145"/>
      <c r="E1111" s="1145"/>
      <c r="F1111" s="1145"/>
      <c r="G1111" s="1145"/>
      <c r="H1111" s="1145"/>
      <c r="I1111" s="1145"/>
      <c r="J1111" s="1145"/>
      <c r="K1111" s="1145"/>
      <c r="L1111" s="1145"/>
      <c r="M1111" s="1145"/>
      <c r="N1111" s="1145"/>
      <c r="O1111" s="1145"/>
      <c r="P1111" s="1145"/>
      <c r="Q1111" s="1145"/>
      <c r="R1111" s="1145"/>
      <c r="S1111" s="1145"/>
      <c r="T1111" s="1145"/>
      <c r="U1111" s="1145"/>
      <c r="V1111" s="1145"/>
      <c r="W1111" s="1145"/>
      <c r="X1111" s="1145"/>
      <c r="Y1111" s="1145"/>
      <c r="Z1111" s="1145"/>
      <c r="AA1111" s="1145"/>
      <c r="AB1111" s="1145"/>
      <c r="AC1111" s="1145"/>
      <c r="AD1111" s="1145"/>
      <c r="AE1111" s="1145"/>
      <c r="AF1111" s="1145"/>
      <c r="AG1111" s="1145"/>
      <c r="AH1111" s="1145"/>
      <c r="AI1111" s="1145"/>
      <c r="AJ1111" s="1145"/>
      <c r="AK1111" s="1145"/>
    </row>
    <row r="1112" spans="1:37" ht="13" hidden="1" customHeight="1">
      <c r="A1112" s="1146"/>
      <c r="B1112" s="1146"/>
      <c r="C1112" s="1083"/>
      <c r="D1112" s="1145"/>
      <c r="E1112" s="1145"/>
      <c r="F1112" s="1145"/>
      <c r="G1112" s="1145"/>
      <c r="H1112" s="1145"/>
      <c r="I1112" s="1145"/>
      <c r="J1112" s="1145"/>
      <c r="K1112" s="1145"/>
      <c r="L1112" s="1145"/>
      <c r="M1112" s="1145"/>
      <c r="N1112" s="1145"/>
      <c r="O1112" s="1145"/>
      <c r="P1112" s="1145"/>
      <c r="Q1112" s="1145"/>
      <c r="R1112" s="1145"/>
      <c r="S1112" s="1145"/>
      <c r="T1112" s="1145"/>
      <c r="U1112" s="1145"/>
      <c r="V1112" s="1145"/>
      <c r="W1112" s="1145"/>
      <c r="X1112" s="1145"/>
      <c r="Y1112" s="1145"/>
      <c r="Z1112" s="1145"/>
      <c r="AA1112" s="1145"/>
      <c r="AB1112" s="1145"/>
      <c r="AC1112" s="1145"/>
      <c r="AD1112" s="1145"/>
      <c r="AE1112" s="1145"/>
      <c r="AF1112" s="1145"/>
      <c r="AG1112" s="1145"/>
      <c r="AH1112" s="1145"/>
      <c r="AI1112" s="1145"/>
      <c r="AJ1112" s="1145"/>
      <c r="AK1112" s="1145"/>
    </row>
    <row r="1113" spans="1:37" ht="13" hidden="1" customHeight="1">
      <c r="A1113" s="1146"/>
      <c r="B1113" s="1146"/>
      <c r="C1113" s="1083"/>
      <c r="D1113" s="1145"/>
      <c r="E1113" s="1145"/>
      <c r="F1113" s="1145"/>
      <c r="G1113" s="1145"/>
      <c r="H1113" s="1145"/>
      <c r="I1113" s="1145"/>
      <c r="J1113" s="1145"/>
      <c r="K1113" s="1145"/>
      <c r="L1113" s="1145"/>
      <c r="M1113" s="1145"/>
      <c r="N1113" s="1145"/>
      <c r="O1113" s="1145"/>
      <c r="P1113" s="1145"/>
      <c r="Q1113" s="1145"/>
      <c r="R1113" s="1145"/>
      <c r="S1113" s="1145"/>
      <c r="T1113" s="1145"/>
      <c r="U1113" s="1145"/>
      <c r="V1113" s="1145"/>
      <c r="W1113" s="1145"/>
      <c r="X1113" s="1145"/>
      <c r="Y1113" s="1145"/>
      <c r="Z1113" s="1145"/>
      <c r="AA1113" s="1145"/>
      <c r="AB1113" s="1145"/>
      <c r="AC1113" s="1145"/>
      <c r="AD1113" s="1145"/>
      <c r="AE1113" s="1145"/>
      <c r="AF1113" s="1145"/>
      <c r="AG1113" s="1145"/>
      <c r="AH1113" s="1145"/>
      <c r="AI1113" s="1145"/>
      <c r="AJ1113" s="1145"/>
      <c r="AK1113" s="1145"/>
    </row>
    <row r="1114" spans="1:37" ht="13" hidden="1" customHeight="1">
      <c r="A1114" s="1146"/>
      <c r="B1114" s="1146"/>
      <c r="C1114" s="1083"/>
      <c r="D1114" s="1145"/>
      <c r="E1114" s="1145"/>
      <c r="F1114" s="1145"/>
      <c r="G1114" s="1145"/>
      <c r="H1114" s="1145"/>
      <c r="I1114" s="1145"/>
      <c r="J1114" s="1145"/>
      <c r="K1114" s="1145"/>
      <c r="L1114" s="1145"/>
      <c r="M1114" s="1145"/>
      <c r="N1114" s="1145"/>
      <c r="O1114" s="1145"/>
      <c r="P1114" s="1145"/>
      <c r="Q1114" s="1145"/>
      <c r="R1114" s="1145"/>
      <c r="S1114" s="1145"/>
      <c r="T1114" s="1145"/>
      <c r="U1114" s="1145"/>
      <c r="V1114" s="1145"/>
      <c r="W1114" s="1145"/>
      <c r="X1114" s="1145"/>
      <c r="Y1114" s="1145"/>
      <c r="Z1114" s="1145"/>
      <c r="AA1114" s="1145"/>
      <c r="AB1114" s="1145"/>
      <c r="AC1114" s="1145"/>
      <c r="AD1114" s="1145"/>
      <c r="AE1114" s="1145"/>
      <c r="AF1114" s="1145"/>
      <c r="AG1114" s="1145"/>
      <c r="AH1114" s="1145"/>
      <c r="AI1114" s="1145"/>
      <c r="AJ1114" s="1145"/>
      <c r="AK1114" s="1145"/>
    </row>
    <row r="1115" spans="1:37" ht="13" hidden="1" customHeight="1">
      <c r="A1115" s="1146"/>
      <c r="B1115" s="1146"/>
      <c r="C1115" s="1083"/>
      <c r="D1115" s="1145"/>
      <c r="E1115" s="1145"/>
      <c r="F1115" s="1145"/>
      <c r="G1115" s="1145"/>
      <c r="H1115" s="1145"/>
      <c r="I1115" s="1145"/>
      <c r="J1115" s="1145"/>
      <c r="K1115" s="1145"/>
      <c r="L1115" s="1145"/>
      <c r="M1115" s="1145"/>
      <c r="N1115" s="1145"/>
      <c r="O1115" s="1145"/>
      <c r="P1115" s="1145"/>
      <c r="Q1115" s="1145"/>
      <c r="R1115" s="1145"/>
      <c r="S1115" s="1145"/>
      <c r="T1115" s="1145"/>
      <c r="U1115" s="1145"/>
      <c r="V1115" s="1145"/>
      <c r="W1115" s="1145"/>
      <c r="X1115" s="1145"/>
      <c r="Y1115" s="1145"/>
      <c r="Z1115" s="1145"/>
      <c r="AA1115" s="1145"/>
      <c r="AB1115" s="1145"/>
      <c r="AC1115" s="1145"/>
      <c r="AD1115" s="1145"/>
      <c r="AE1115" s="1145"/>
      <c r="AF1115" s="1145"/>
      <c r="AG1115" s="1145"/>
      <c r="AH1115" s="1145"/>
      <c r="AI1115" s="1145"/>
      <c r="AJ1115" s="1145"/>
      <c r="AK1115" s="1145"/>
    </row>
    <row r="1116" spans="1:37" ht="13" hidden="1" customHeight="1">
      <c r="A1116" s="1146"/>
      <c r="B1116" s="1146"/>
      <c r="C1116" s="1083"/>
      <c r="D1116" s="1145"/>
      <c r="E1116" s="1145"/>
      <c r="F1116" s="1145"/>
      <c r="G1116" s="1145"/>
      <c r="H1116" s="1145"/>
      <c r="I1116" s="1145"/>
      <c r="J1116" s="1145"/>
      <c r="K1116" s="1145"/>
      <c r="L1116" s="1145"/>
      <c r="M1116" s="1145"/>
      <c r="N1116" s="1145"/>
      <c r="O1116" s="1145"/>
      <c r="P1116" s="1145"/>
      <c r="Q1116" s="1145"/>
      <c r="R1116" s="1145"/>
      <c r="S1116" s="1145"/>
      <c r="T1116" s="1145"/>
      <c r="U1116" s="1145"/>
      <c r="V1116" s="1145"/>
      <c r="W1116" s="1145"/>
      <c r="X1116" s="1145"/>
      <c r="Y1116" s="1145"/>
      <c r="Z1116" s="1145"/>
      <c r="AA1116" s="1145"/>
      <c r="AB1116" s="1145"/>
      <c r="AC1116" s="1145"/>
      <c r="AD1116" s="1145"/>
      <c r="AE1116" s="1145"/>
      <c r="AF1116" s="1145"/>
      <c r="AG1116" s="1145"/>
      <c r="AH1116" s="1145"/>
      <c r="AI1116" s="1145"/>
      <c r="AJ1116" s="1145"/>
      <c r="AK1116" s="1145"/>
    </row>
    <row r="1117" spans="1:37" ht="13" hidden="1" customHeight="1">
      <c r="A1117" s="1146"/>
      <c r="B1117" s="1146"/>
      <c r="C1117" s="1083"/>
      <c r="D1117" s="1145"/>
      <c r="E1117" s="1145"/>
      <c r="F1117" s="1145"/>
      <c r="G1117" s="1145"/>
      <c r="H1117" s="1145"/>
      <c r="I1117" s="1145"/>
      <c r="J1117" s="1145"/>
      <c r="K1117" s="1145"/>
      <c r="L1117" s="1145"/>
      <c r="M1117" s="1145"/>
      <c r="N1117" s="1145"/>
      <c r="O1117" s="1145"/>
      <c r="P1117" s="1145"/>
      <c r="Q1117" s="1145"/>
      <c r="R1117" s="1145"/>
      <c r="S1117" s="1145"/>
      <c r="T1117" s="1145"/>
      <c r="U1117" s="1145"/>
      <c r="V1117" s="1145"/>
      <c r="W1117" s="1145"/>
      <c r="X1117" s="1145"/>
      <c r="Y1117" s="1145"/>
      <c r="Z1117" s="1145"/>
      <c r="AA1117" s="1145"/>
      <c r="AB1117" s="1145"/>
      <c r="AC1117" s="1145"/>
      <c r="AD1117" s="1145"/>
      <c r="AE1117" s="1145"/>
      <c r="AF1117" s="1145"/>
      <c r="AG1117" s="1145"/>
      <c r="AH1117" s="1145"/>
      <c r="AI1117" s="1145"/>
      <c r="AJ1117" s="1145"/>
      <c r="AK1117" s="1145"/>
    </row>
    <row r="1118" spans="1:37" ht="13" hidden="1" customHeight="1">
      <c r="A1118" s="1146"/>
      <c r="B1118" s="1146"/>
      <c r="C1118" s="1083"/>
      <c r="D1118" s="1145"/>
      <c r="E1118" s="1145"/>
      <c r="F1118" s="1145"/>
      <c r="G1118" s="1145"/>
      <c r="H1118" s="1145"/>
      <c r="I1118" s="1145"/>
      <c r="J1118" s="1145"/>
      <c r="K1118" s="1145"/>
      <c r="L1118" s="1145"/>
      <c r="M1118" s="1145"/>
      <c r="N1118" s="1145"/>
      <c r="O1118" s="1145"/>
      <c r="P1118" s="1145"/>
      <c r="Q1118" s="1145"/>
      <c r="R1118" s="1145"/>
      <c r="S1118" s="1145"/>
      <c r="T1118" s="1145"/>
      <c r="U1118" s="1145"/>
      <c r="V1118" s="1145"/>
      <c r="W1118" s="1145"/>
      <c r="X1118" s="1145"/>
      <c r="Y1118" s="1145"/>
      <c r="Z1118" s="1145"/>
      <c r="AA1118" s="1145"/>
      <c r="AB1118" s="1145"/>
      <c r="AC1118" s="1145"/>
      <c r="AD1118" s="1145"/>
      <c r="AE1118" s="1145"/>
      <c r="AF1118" s="1145"/>
      <c r="AG1118" s="1145"/>
      <c r="AH1118" s="1145"/>
      <c r="AI1118" s="1145"/>
      <c r="AJ1118" s="1145"/>
      <c r="AK1118" s="1145"/>
    </row>
    <row r="1119" spans="1:37" ht="13" hidden="1" customHeight="1">
      <c r="A1119" s="1146"/>
      <c r="B1119" s="1146"/>
      <c r="C1119" s="1083"/>
      <c r="D1119" s="1145"/>
      <c r="E1119" s="1145"/>
      <c r="F1119" s="1145"/>
      <c r="G1119" s="1145"/>
      <c r="H1119" s="1145"/>
      <c r="I1119" s="1145"/>
      <c r="J1119" s="1145"/>
      <c r="K1119" s="1145"/>
      <c r="L1119" s="1145"/>
      <c r="M1119" s="1145"/>
      <c r="N1119" s="1145"/>
      <c r="O1119" s="1145"/>
      <c r="P1119" s="1145"/>
      <c r="Q1119" s="1145"/>
      <c r="R1119" s="1145"/>
      <c r="S1119" s="1145"/>
      <c r="T1119" s="1145"/>
      <c r="U1119" s="1145"/>
      <c r="V1119" s="1145"/>
      <c r="W1119" s="1145"/>
      <c r="X1119" s="1145"/>
      <c r="Y1119" s="1145"/>
      <c r="Z1119" s="1145"/>
      <c r="AA1119" s="1145"/>
      <c r="AB1119" s="1145"/>
      <c r="AC1119" s="1145"/>
      <c r="AD1119" s="1145"/>
      <c r="AE1119" s="1145"/>
      <c r="AF1119" s="1145"/>
      <c r="AG1119" s="1145"/>
      <c r="AH1119" s="1145"/>
      <c r="AI1119" s="1145"/>
      <c r="AJ1119" s="1145"/>
      <c r="AK1119" s="1145"/>
    </row>
    <row r="1120" spans="1:37" ht="13" hidden="1" customHeight="1">
      <c r="A1120" s="1146"/>
      <c r="B1120" s="1146"/>
      <c r="C1120" s="1083"/>
      <c r="D1120" s="1145"/>
      <c r="E1120" s="1145"/>
      <c r="F1120" s="1145"/>
      <c r="G1120" s="1145"/>
      <c r="H1120" s="1145"/>
      <c r="I1120" s="1145"/>
      <c r="J1120" s="1145"/>
      <c r="K1120" s="1145"/>
      <c r="L1120" s="1145"/>
      <c r="M1120" s="1145"/>
      <c r="N1120" s="1145"/>
      <c r="O1120" s="1145"/>
      <c r="P1120" s="1145"/>
      <c r="Q1120" s="1145"/>
      <c r="R1120" s="1145"/>
      <c r="S1120" s="1145"/>
      <c r="T1120" s="1145"/>
      <c r="U1120" s="1145"/>
      <c r="V1120" s="1145"/>
      <c r="W1120" s="1145"/>
      <c r="X1120" s="1145"/>
      <c r="Y1120" s="1145"/>
      <c r="Z1120" s="1145"/>
      <c r="AA1120" s="1145"/>
      <c r="AB1120" s="1145"/>
      <c r="AC1120" s="1145"/>
      <c r="AD1120" s="1145"/>
      <c r="AE1120" s="1145"/>
      <c r="AF1120" s="1145"/>
      <c r="AG1120" s="1145"/>
      <c r="AH1120" s="1145"/>
      <c r="AI1120" s="1145"/>
      <c r="AJ1120" s="1145"/>
      <c r="AK1120" s="1145"/>
    </row>
    <row r="1121" spans="1:37" ht="13" hidden="1" customHeight="1">
      <c r="A1121" s="1146"/>
      <c r="B1121" s="1146"/>
      <c r="C1121" s="1083"/>
      <c r="D1121" s="1145"/>
      <c r="E1121" s="1145"/>
      <c r="F1121" s="1145"/>
      <c r="G1121" s="1145"/>
      <c r="H1121" s="1145"/>
      <c r="I1121" s="1145"/>
      <c r="J1121" s="1145"/>
      <c r="K1121" s="1145"/>
      <c r="L1121" s="1145"/>
      <c r="M1121" s="1145"/>
      <c r="N1121" s="1145"/>
      <c r="O1121" s="1145"/>
      <c r="P1121" s="1145"/>
      <c r="Q1121" s="1145"/>
      <c r="R1121" s="1145"/>
      <c r="S1121" s="1145"/>
      <c r="T1121" s="1145"/>
      <c r="U1121" s="1145"/>
      <c r="V1121" s="1145"/>
      <c r="W1121" s="1145"/>
      <c r="X1121" s="1145"/>
      <c r="Y1121" s="1145"/>
      <c r="Z1121" s="1145"/>
      <c r="AA1121" s="1145"/>
      <c r="AB1121" s="1145"/>
      <c r="AC1121" s="1145"/>
      <c r="AD1121" s="1145"/>
      <c r="AE1121" s="1145"/>
      <c r="AF1121" s="1145"/>
      <c r="AG1121" s="1145"/>
      <c r="AH1121" s="1145"/>
      <c r="AI1121" s="1145"/>
      <c r="AJ1121" s="1145"/>
      <c r="AK1121" s="1145"/>
    </row>
    <row r="1122" spans="1:37" ht="13" hidden="1" customHeight="1">
      <c r="A1122" s="1146"/>
      <c r="B1122" s="1146"/>
      <c r="C1122" s="1083"/>
      <c r="D1122" s="1145"/>
      <c r="E1122" s="1145"/>
      <c r="F1122" s="1145"/>
      <c r="G1122" s="1145"/>
      <c r="H1122" s="1145"/>
      <c r="I1122" s="1145"/>
      <c r="J1122" s="1145"/>
      <c r="K1122" s="1145"/>
      <c r="L1122" s="1145"/>
      <c r="M1122" s="1145"/>
      <c r="N1122" s="1145"/>
      <c r="O1122" s="1145"/>
      <c r="P1122" s="1145"/>
      <c r="Q1122" s="1145"/>
      <c r="R1122" s="1145"/>
      <c r="S1122" s="1145"/>
      <c r="T1122" s="1145"/>
      <c r="U1122" s="1145"/>
      <c r="V1122" s="1145"/>
      <c r="W1122" s="1145"/>
      <c r="X1122" s="1145"/>
      <c r="Y1122" s="1145"/>
      <c r="Z1122" s="1145"/>
      <c r="AA1122" s="1145"/>
      <c r="AB1122" s="1145"/>
      <c r="AC1122" s="1145"/>
      <c r="AD1122" s="1145"/>
      <c r="AE1122" s="1145"/>
      <c r="AF1122" s="1145"/>
      <c r="AG1122" s="1145"/>
      <c r="AH1122" s="1145"/>
      <c r="AI1122" s="1145"/>
      <c r="AJ1122" s="1145"/>
      <c r="AK1122" s="1145"/>
    </row>
    <row r="1123" spans="1:37" ht="0" hidden="1" customHeight="1">
      <c r="A1123" s="1146"/>
      <c r="B1123" s="1146"/>
      <c r="C1123" s="1083"/>
      <c r="D1123" s="1145"/>
      <c r="E1123" s="1145"/>
      <c r="F1123" s="1145"/>
      <c r="G1123" s="1145"/>
      <c r="H1123" s="1145"/>
      <c r="I1123" s="1145"/>
      <c r="J1123" s="1145"/>
      <c r="K1123" s="1145"/>
      <c r="L1123" s="1145"/>
      <c r="M1123" s="1145"/>
      <c r="N1123" s="1145"/>
      <c r="O1123" s="1145"/>
      <c r="P1123" s="1145"/>
      <c r="Q1123" s="1145"/>
      <c r="R1123" s="1145"/>
      <c r="S1123" s="1145"/>
      <c r="T1123" s="1145"/>
      <c r="U1123" s="1145"/>
      <c r="V1123" s="1145"/>
      <c r="W1123" s="1145"/>
      <c r="X1123" s="1145"/>
      <c r="Y1123" s="1145"/>
      <c r="Z1123" s="1145"/>
      <c r="AA1123" s="1145"/>
      <c r="AB1123" s="1145"/>
      <c r="AC1123" s="1145"/>
      <c r="AD1123" s="1145"/>
      <c r="AE1123" s="1145"/>
      <c r="AF1123" s="1145"/>
      <c r="AG1123" s="1145"/>
      <c r="AH1123" s="1145"/>
      <c r="AI1123" s="1145"/>
      <c r="AJ1123" s="1145"/>
      <c r="AK1123" s="1145"/>
    </row>
    <row r="1124" spans="1:37" ht="0" hidden="1" customHeight="1">
      <c r="A1124" s="68"/>
      <c r="B1124" s="19"/>
      <c r="C1124" s="1083"/>
      <c r="D1124" s="1145"/>
      <c r="E1124" s="1145"/>
      <c r="F1124" s="1145"/>
      <c r="G1124" s="1145"/>
      <c r="H1124" s="1145"/>
      <c r="I1124" s="1145"/>
      <c r="J1124" s="1145"/>
      <c r="K1124" s="1145"/>
      <c r="L1124" s="1145"/>
      <c r="M1124" s="1145"/>
      <c r="N1124" s="1145"/>
      <c r="O1124" s="1145"/>
      <c r="P1124" s="1145"/>
      <c r="Q1124" s="1145"/>
      <c r="R1124" s="1145"/>
      <c r="S1124" s="1145"/>
      <c r="T1124" s="1145"/>
      <c r="U1124" s="1145"/>
      <c r="V1124" s="1145"/>
      <c r="W1124" s="1145"/>
      <c r="X1124" s="1145"/>
      <c r="Y1124" s="1145"/>
      <c r="Z1124" s="1145"/>
      <c r="AA1124" s="1145"/>
      <c r="AB1124" s="1145"/>
      <c r="AC1124" s="1145"/>
      <c r="AD1124" s="1145"/>
      <c r="AE1124" s="1145"/>
      <c r="AF1124" s="1145"/>
      <c r="AG1124" s="1145"/>
      <c r="AH1124" s="1145"/>
      <c r="AI1124" s="1145"/>
      <c r="AJ1124" s="1145"/>
      <c r="AK1124" s="1145"/>
    </row>
    <row r="1125" spans="1:37" ht="0" hidden="1" customHeight="1">
      <c r="A1125" s="1367" t="s">
        <v>798</v>
      </c>
      <c r="B1125" s="1367"/>
      <c r="C1125" s="1083">
        <v>9</v>
      </c>
      <c r="D1125" s="1221" t="s">
        <v>1745</v>
      </c>
      <c r="E1125" s="1221"/>
      <c r="F1125" s="1221"/>
      <c r="G1125" s="1221"/>
      <c r="H1125" s="1221"/>
      <c r="I1125" s="1221"/>
      <c r="J1125" s="1221"/>
      <c r="K1125" s="1221"/>
      <c r="L1125" s="1221"/>
      <c r="M1125" s="1221"/>
      <c r="N1125" s="1221"/>
      <c r="O1125" s="1221"/>
      <c r="P1125" s="1221"/>
      <c r="Q1125" s="1221"/>
      <c r="R1125" s="1221"/>
      <c r="S1125" s="1221"/>
      <c r="T1125" s="1221"/>
      <c r="U1125" s="1221"/>
      <c r="V1125" s="1221"/>
      <c r="W1125" s="1221"/>
      <c r="X1125" s="1221"/>
      <c r="Y1125" s="1221"/>
      <c r="Z1125" s="1221"/>
      <c r="AA1125" s="1221"/>
      <c r="AB1125" s="1221"/>
      <c r="AC1125" s="1221"/>
      <c r="AD1125" s="1221"/>
      <c r="AE1125" s="1221"/>
      <c r="AF1125" s="1221"/>
      <c r="AG1125" s="1221"/>
      <c r="AH1125" s="1221"/>
      <c r="AI1125" s="1221"/>
      <c r="AJ1125" s="1221"/>
      <c r="AK1125" s="1221"/>
    </row>
    <row r="1126" spans="1:37" ht="0" hidden="1" customHeight="1">
      <c r="A1126" s="68"/>
      <c r="B1126" s="19"/>
      <c r="C1126" s="1083"/>
      <c r="D1126" s="1221"/>
      <c r="E1126" s="1221"/>
      <c r="F1126" s="1221"/>
      <c r="G1126" s="1221"/>
      <c r="H1126" s="1221"/>
      <c r="I1126" s="1221"/>
      <c r="J1126" s="1221"/>
      <c r="K1126" s="1221"/>
      <c r="L1126" s="1221"/>
      <c r="M1126" s="1221"/>
      <c r="N1126" s="1221"/>
      <c r="O1126" s="1221"/>
      <c r="P1126" s="1221"/>
      <c r="Q1126" s="1221"/>
      <c r="R1126" s="1221"/>
      <c r="S1126" s="1221"/>
      <c r="T1126" s="1221"/>
      <c r="U1126" s="1221"/>
      <c r="V1126" s="1221"/>
      <c r="W1126" s="1221"/>
      <c r="X1126" s="1221"/>
      <c r="Y1126" s="1221"/>
      <c r="Z1126" s="1221"/>
      <c r="AA1126" s="1221"/>
      <c r="AB1126" s="1221"/>
      <c r="AC1126" s="1221"/>
      <c r="AD1126" s="1221"/>
      <c r="AE1126" s="1221"/>
      <c r="AF1126" s="1221"/>
      <c r="AG1126" s="1221"/>
      <c r="AH1126" s="1221"/>
      <c r="AI1126" s="1221"/>
      <c r="AJ1126" s="1221"/>
      <c r="AK1126" s="1221"/>
    </row>
    <row r="1127" spans="1:37" ht="0" hidden="1" customHeight="1">
      <c r="D1127" s="1221"/>
      <c r="E1127" s="1221"/>
      <c r="F1127" s="1221"/>
      <c r="G1127" s="1221"/>
      <c r="H1127" s="1221"/>
      <c r="I1127" s="1221"/>
      <c r="J1127" s="1221"/>
      <c r="K1127" s="1221"/>
      <c r="L1127" s="1221"/>
      <c r="M1127" s="1221"/>
      <c r="N1127" s="1221"/>
      <c r="O1127" s="1221"/>
      <c r="P1127" s="1221"/>
      <c r="Q1127" s="1221"/>
      <c r="R1127" s="1221"/>
      <c r="S1127" s="1221"/>
      <c r="T1127" s="1221"/>
      <c r="U1127" s="1221"/>
      <c r="V1127" s="1221"/>
      <c r="W1127" s="1221"/>
      <c r="X1127" s="1221"/>
      <c r="Y1127" s="1221"/>
      <c r="Z1127" s="1221"/>
      <c r="AA1127" s="1221"/>
      <c r="AB1127" s="1221"/>
      <c r="AC1127" s="1221"/>
      <c r="AD1127" s="1221"/>
      <c r="AE1127" s="1221"/>
      <c r="AF1127" s="1221"/>
      <c r="AG1127" s="1221"/>
      <c r="AH1127" s="1221"/>
      <c r="AI1127" s="1221"/>
      <c r="AJ1127" s="1221"/>
      <c r="AK1127" s="1221"/>
    </row>
    <row r="1137" ht="15" hidden="1" customHeight="1"/>
    <row r="2017" ht="10" hidden="1" customHeight="1"/>
  </sheetData>
  <sheetProtection algorithmName="SHA-512" hashValue="dZtls0F3KctN43Wmjog+CZ6DYYbI87zjFR6r0t6e6biY2gZwEAwEs6THZBNmjHYjlT+ygIefSZa8ryhSQSdlEw==" saltValue="sI1jU69dUCjTmVwuvqs9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A21:AL21"/>
    <mergeCell ref="M27:Q27"/>
    <mergeCell ref="A13:AT14"/>
    <mergeCell ref="H16:AJ16"/>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zoomScale="119" workbookViewId="0">
      <selection activeCell="C4" sqref="C4"/>
    </sheetView>
  </sheetViews>
  <sheetFormatPr defaultColWidth="0" defaultRowHeight="11.5" zeroHeight="1"/>
  <cols>
    <col min="1" max="1" width="35.7265625" style="105" customWidth="1"/>
    <col min="2" max="12" width="12.1796875" style="90" customWidth="1"/>
    <col min="13" max="17" width="11.26953125" style="90" customWidth="1"/>
    <col min="18" max="18" width="12.7265625" style="90" customWidth="1"/>
    <col min="19" max="20" width="12.1796875" style="90" customWidth="1"/>
    <col min="21" max="21" width="0.26953125" style="92" customWidth="1"/>
    <col min="22" max="16383" width="8.81640625" style="90" hidden="1"/>
    <col min="16384" max="16384" width="0.1796875" style="90" customWidth="1"/>
  </cols>
  <sheetData>
    <row r="1" spans="1:21" s="62" customFormat="1" ht="13.5">
      <c r="A1" s="95" t="s">
        <v>1746</v>
      </c>
      <c r="B1" s="73"/>
      <c r="C1" s="73"/>
      <c r="D1" s="73"/>
      <c r="E1" s="74"/>
      <c r="F1" s="1793" t="s">
        <v>1747</v>
      </c>
      <c r="G1" s="1794"/>
      <c r="H1" s="1794"/>
      <c r="I1" s="1794"/>
      <c r="J1" s="1794"/>
      <c r="K1" s="1794"/>
      <c r="L1" s="1794"/>
      <c r="M1" s="1794"/>
      <c r="N1" s="1794"/>
      <c r="O1" s="1794"/>
      <c r="P1" s="1794"/>
      <c r="Q1" s="1794"/>
      <c r="R1" s="1795"/>
      <c r="S1" s="64"/>
      <c r="T1" s="63"/>
      <c r="U1" s="65"/>
    </row>
    <row r="2" spans="1:21" s="79" customFormat="1" ht="71.25" customHeight="1">
      <c r="A2" s="78"/>
      <c r="B2" s="79" t="s">
        <v>1748</v>
      </c>
      <c r="C2" s="79" t="s">
        <v>1749</v>
      </c>
      <c r="D2" s="79" t="s">
        <v>1750</v>
      </c>
      <c r="E2" s="79" t="s">
        <v>1751</v>
      </c>
      <c r="F2" s="80" t="str">
        <f>Application!B627&amp;Application!C627</f>
        <v>1)Perm Loan</v>
      </c>
      <c r="G2" s="80" t="str">
        <f>Application!B628&amp;Application!C628</f>
        <v>2)HOME</v>
      </c>
      <c r="H2" s="80" t="str">
        <f>Application!B629&amp;Application!C629</f>
        <v>3)Deferred Developer Fee</v>
      </c>
      <c r="I2" s="80" t="str">
        <f>Application!B630&amp;Application!C630</f>
        <v>4)</v>
      </c>
      <c r="J2" s="80" t="str">
        <f>Application!B631&amp;Application!C631</f>
        <v>5)</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1752</v>
      </c>
      <c r="S2" s="79" t="s">
        <v>1753</v>
      </c>
      <c r="T2" s="79" t="s">
        <v>1754</v>
      </c>
      <c r="U2" s="81"/>
    </row>
    <row r="3" spans="1:21" s="83" customFormat="1" ht="12">
      <c r="A3" s="82" t="s">
        <v>1755</v>
      </c>
      <c r="B3" s="1084"/>
      <c r="C3" s="1084"/>
      <c r="D3" s="1084"/>
      <c r="E3" s="1084"/>
      <c r="F3" s="1084"/>
      <c r="G3" s="1084"/>
      <c r="H3" s="1084"/>
      <c r="I3" s="1084"/>
      <c r="J3" s="1084"/>
      <c r="K3" s="1084"/>
      <c r="L3" s="1084"/>
      <c r="M3" s="1084"/>
      <c r="N3" s="1084"/>
      <c r="O3" s="1084"/>
      <c r="P3" s="1084"/>
      <c r="Q3" s="1084"/>
      <c r="R3" s="1084"/>
      <c r="S3" s="1084"/>
      <c r="T3" s="1084"/>
      <c r="U3" s="1085"/>
    </row>
    <row r="4" spans="1:21" s="83" customFormat="1">
      <c r="A4" s="170" t="s">
        <v>1756</v>
      </c>
      <c r="B4" s="216">
        <f>SUM(C4+D4)</f>
        <v>1440000</v>
      </c>
      <c r="C4" s="780">
        <v>1440000</v>
      </c>
      <c r="D4" s="780"/>
      <c r="E4" s="780">
        <f>C4</f>
        <v>1440000</v>
      </c>
      <c r="F4" s="780"/>
      <c r="G4" s="780"/>
      <c r="H4" s="780"/>
      <c r="I4" s="780"/>
      <c r="J4" s="780"/>
      <c r="K4" s="780"/>
      <c r="L4" s="780"/>
      <c r="M4" s="780"/>
      <c r="N4" s="780"/>
      <c r="O4" s="780"/>
      <c r="P4" s="780"/>
      <c r="Q4" s="780"/>
      <c r="R4" s="367">
        <f>SUM(E4:Q4)</f>
        <v>1440000</v>
      </c>
      <c r="S4" s="1086"/>
      <c r="T4" s="1086"/>
      <c r="U4" s="1085"/>
    </row>
    <row r="5" spans="1:21" s="83" customFormat="1">
      <c r="A5" s="170" t="s">
        <v>690</v>
      </c>
      <c r="B5" s="216">
        <f>SUM(C5+D5)</f>
        <v>0</v>
      </c>
      <c r="C5" s="780"/>
      <c r="D5" s="780"/>
      <c r="E5" s="780"/>
      <c r="F5" s="780"/>
      <c r="G5" s="780"/>
      <c r="H5" s="780"/>
      <c r="I5" s="780"/>
      <c r="J5" s="780"/>
      <c r="K5" s="780"/>
      <c r="L5" s="780"/>
      <c r="M5" s="780"/>
      <c r="N5" s="780"/>
      <c r="O5" s="780"/>
      <c r="P5" s="780"/>
      <c r="Q5" s="780"/>
      <c r="R5" s="367">
        <f>SUM(E5:Q5)</f>
        <v>0</v>
      </c>
      <c r="S5" s="1086"/>
      <c r="T5" s="1086"/>
      <c r="U5" s="1085"/>
    </row>
    <row r="6" spans="1:21" s="83" customFormat="1">
      <c r="A6" s="170" t="s">
        <v>1757</v>
      </c>
      <c r="B6" s="216">
        <f>SUM(C6+D6)</f>
        <v>0</v>
      </c>
      <c r="C6" s="780"/>
      <c r="D6" s="780"/>
      <c r="E6" s="780"/>
      <c r="F6" s="780"/>
      <c r="G6" s="780"/>
      <c r="H6" s="780"/>
      <c r="I6" s="780"/>
      <c r="J6" s="780"/>
      <c r="K6" s="780"/>
      <c r="L6" s="780"/>
      <c r="M6" s="780"/>
      <c r="N6" s="780"/>
      <c r="O6" s="780"/>
      <c r="P6" s="780"/>
      <c r="Q6" s="780"/>
      <c r="R6" s="367">
        <f>SUM(E6:Q6)</f>
        <v>0</v>
      </c>
      <c r="S6" s="1086"/>
      <c r="T6" s="1086"/>
      <c r="U6" s="1085"/>
    </row>
    <row r="7" spans="1:21" s="83" customFormat="1">
      <c r="A7" s="170" t="s">
        <v>1758</v>
      </c>
      <c r="B7" s="216">
        <f>SUM(C7+D7)</f>
        <v>0</v>
      </c>
      <c r="C7" s="780"/>
      <c r="D7" s="780"/>
      <c r="E7" s="780"/>
      <c r="F7" s="780"/>
      <c r="G7" s="780"/>
      <c r="H7" s="780"/>
      <c r="I7" s="780"/>
      <c r="J7" s="780"/>
      <c r="K7" s="780"/>
      <c r="L7" s="780"/>
      <c r="M7" s="780"/>
      <c r="N7" s="780"/>
      <c r="O7" s="780"/>
      <c r="P7" s="780"/>
      <c r="Q7" s="780"/>
      <c r="R7" s="367">
        <f>SUM(E7:Q7)</f>
        <v>0</v>
      </c>
      <c r="S7" s="1086"/>
      <c r="T7" s="1086"/>
      <c r="U7" s="1085"/>
    </row>
    <row r="8" spans="1:21" s="83" customFormat="1">
      <c r="A8" s="84" t="s">
        <v>1759</v>
      </c>
      <c r="B8" s="216">
        <f>SUM(C8:D8)</f>
        <v>1440000</v>
      </c>
      <c r="C8" s="216">
        <f t="shared" ref="C8:Q8" si="0">SUM(C4:C7)</f>
        <v>1440000</v>
      </c>
      <c r="D8" s="216">
        <f t="shared" si="0"/>
        <v>0</v>
      </c>
      <c r="E8" s="216">
        <f t="shared" si="0"/>
        <v>1440000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216">
        <f>SUM(R4:R7)</f>
        <v>1440000</v>
      </c>
      <c r="S8" s="1086"/>
      <c r="T8" s="1086"/>
      <c r="U8" s="1085"/>
    </row>
    <row r="9" spans="1:21" s="83" customFormat="1">
      <c r="A9" s="170" t="s">
        <v>1760</v>
      </c>
      <c r="B9" s="216">
        <f>SUM(C9+D9)</f>
        <v>0</v>
      </c>
      <c r="C9" s="780"/>
      <c r="D9" s="780"/>
      <c r="E9" s="780"/>
      <c r="F9" s="780"/>
      <c r="G9" s="780"/>
      <c r="H9" s="780"/>
      <c r="I9" s="780"/>
      <c r="J9" s="780"/>
      <c r="K9" s="780"/>
      <c r="L9" s="780"/>
      <c r="M9" s="780"/>
      <c r="N9" s="780"/>
      <c r="O9" s="780"/>
      <c r="P9" s="780"/>
      <c r="Q9" s="780"/>
      <c r="R9" s="367">
        <f>SUM(E9:Q9)</f>
        <v>0</v>
      </c>
      <c r="S9" s="1086"/>
      <c r="T9" s="780"/>
      <c r="U9" s="1085"/>
    </row>
    <row r="10" spans="1:21" s="83" customFormat="1">
      <c r="A10" s="170" t="s">
        <v>1761</v>
      </c>
      <c r="B10" s="216">
        <f>SUM(C10+D10)</f>
        <v>500000</v>
      </c>
      <c r="C10" s="780">
        <v>500000</v>
      </c>
      <c r="D10" s="780"/>
      <c r="E10" s="780">
        <f>C10</f>
        <v>500000</v>
      </c>
      <c r="F10" s="780"/>
      <c r="G10" s="780"/>
      <c r="H10" s="780"/>
      <c r="I10" s="780"/>
      <c r="J10" s="780"/>
      <c r="K10" s="780"/>
      <c r="L10" s="780"/>
      <c r="M10" s="780"/>
      <c r="N10" s="780"/>
      <c r="O10" s="780"/>
      <c r="P10" s="780"/>
      <c r="Q10" s="780"/>
      <c r="R10" s="367">
        <f>SUM(E10:Q10)</f>
        <v>500000</v>
      </c>
      <c r="S10" s="780">
        <f>C10</f>
        <v>500000</v>
      </c>
      <c r="T10" s="780"/>
      <c r="U10" s="1085"/>
    </row>
    <row r="11" spans="1:21" s="83" customFormat="1">
      <c r="A11" s="84" t="s">
        <v>1762</v>
      </c>
      <c r="B11" s="216">
        <f>SUM(C11:D11)</f>
        <v>500000</v>
      </c>
      <c r="C11" s="216">
        <f t="shared" ref="C11:Q11" si="1">SUM(C9:C10)</f>
        <v>500000</v>
      </c>
      <c r="D11" s="216">
        <f t="shared" si="1"/>
        <v>0</v>
      </c>
      <c r="E11" s="216">
        <f t="shared" si="1"/>
        <v>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500000</v>
      </c>
      <c r="S11" s="1086"/>
      <c r="T11" s="85">
        <f>SUM(T9:T10)</f>
        <v>0</v>
      </c>
      <c r="U11" s="1085"/>
    </row>
    <row r="12" spans="1:21" s="83" customFormat="1">
      <c r="A12" s="84" t="s">
        <v>1763</v>
      </c>
      <c r="B12" s="216">
        <f t="shared" ref="B12:Q12" si="2">SUM(B8+B11)</f>
        <v>1940000</v>
      </c>
      <c r="C12" s="216">
        <f t="shared" si="2"/>
        <v>1940000</v>
      </c>
      <c r="D12" s="216">
        <f t="shared" si="2"/>
        <v>0</v>
      </c>
      <c r="E12" s="216">
        <f t="shared" si="2"/>
        <v>1940000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216">
        <f>SUM(R8+R11)</f>
        <v>1940000</v>
      </c>
      <c r="S12" s="1086"/>
      <c r="T12" s="1086"/>
      <c r="U12" s="1085"/>
    </row>
    <row r="13" spans="1:21" s="83" customFormat="1">
      <c r="A13" s="172" t="s">
        <v>1764</v>
      </c>
      <c r="B13" s="216">
        <f>SUM(C13+D13)</f>
        <v>0</v>
      </c>
      <c r="C13" s="780"/>
      <c r="D13" s="780"/>
      <c r="E13" s="780"/>
      <c r="F13" s="780"/>
      <c r="G13" s="780"/>
      <c r="H13" s="780"/>
      <c r="I13" s="780"/>
      <c r="J13" s="780"/>
      <c r="K13" s="780"/>
      <c r="L13" s="780"/>
      <c r="M13" s="780"/>
      <c r="N13" s="780"/>
      <c r="O13" s="780"/>
      <c r="P13" s="780"/>
      <c r="Q13" s="780"/>
      <c r="R13" s="367">
        <f>SUM(E13:Q13)</f>
        <v>0</v>
      </c>
      <c r="S13" s="780"/>
      <c r="T13" s="780"/>
      <c r="U13" s="1085"/>
    </row>
    <row r="14" spans="1:21" s="83" customFormat="1" ht="23">
      <c r="A14" s="173" t="s">
        <v>1765</v>
      </c>
      <c r="B14" s="216">
        <f>SUM(C14+D14)</f>
        <v>0</v>
      </c>
      <c r="C14" s="780"/>
      <c r="D14" s="780"/>
      <c r="E14" s="780"/>
      <c r="F14" s="780"/>
      <c r="G14" s="780"/>
      <c r="H14" s="780"/>
      <c r="I14" s="780"/>
      <c r="J14" s="780"/>
      <c r="K14" s="780"/>
      <c r="L14" s="780"/>
      <c r="M14" s="780"/>
      <c r="N14" s="780"/>
      <c r="O14" s="780"/>
      <c r="P14" s="780"/>
      <c r="Q14" s="780"/>
      <c r="R14" s="367">
        <f>SUM(E14:Q14)</f>
        <v>0</v>
      </c>
      <c r="S14" s="780"/>
      <c r="T14" s="780"/>
      <c r="U14" s="1085"/>
    </row>
    <row r="15" spans="1:21" s="83" customFormat="1">
      <c r="A15" s="173" t="s">
        <v>1766</v>
      </c>
      <c r="B15" s="216">
        <f>SUM(C15+D15)</f>
        <v>0</v>
      </c>
      <c r="C15" s="780"/>
      <c r="D15" s="780"/>
      <c r="E15" s="780"/>
      <c r="F15" s="780"/>
      <c r="G15" s="780"/>
      <c r="H15" s="780"/>
      <c r="I15" s="780"/>
      <c r="J15" s="780"/>
      <c r="K15" s="780"/>
      <c r="L15" s="780"/>
      <c r="M15" s="780"/>
      <c r="N15" s="780"/>
      <c r="O15" s="780"/>
      <c r="P15" s="780"/>
      <c r="Q15" s="780"/>
      <c r="R15" s="367">
        <f>SUM(E15:Q15)</f>
        <v>0</v>
      </c>
      <c r="S15" s="1086"/>
      <c r="T15" s="1086"/>
      <c r="U15" s="1085"/>
    </row>
    <row r="16" spans="1:21" s="83" customFormat="1" ht="12">
      <c r="A16" s="82" t="s">
        <v>1767</v>
      </c>
      <c r="B16" s="1084"/>
      <c r="C16" s="1084"/>
      <c r="D16" s="1084"/>
      <c r="E16" s="217"/>
      <c r="F16" s="217"/>
      <c r="G16" s="217"/>
      <c r="H16" s="217"/>
      <c r="I16" s="217"/>
      <c r="J16" s="217"/>
      <c r="K16" s="217"/>
      <c r="L16" s="217"/>
      <c r="M16" s="217"/>
      <c r="N16" s="217"/>
      <c r="O16" s="217"/>
      <c r="P16" s="217"/>
      <c r="Q16" s="217"/>
      <c r="R16" s="217"/>
      <c r="S16" s="1084"/>
      <c r="T16" s="1084"/>
      <c r="U16" s="1085"/>
    </row>
    <row r="17" spans="1:21" s="83" customFormat="1">
      <c r="A17" s="170" t="s">
        <v>1768</v>
      </c>
      <c r="B17" s="216">
        <f t="shared" ref="B17:B26" si="3">SUM(C17+D17)</f>
        <v>0</v>
      </c>
      <c r="C17" s="780"/>
      <c r="D17" s="780"/>
      <c r="E17" s="780"/>
      <c r="F17" s="780"/>
      <c r="G17" s="780"/>
      <c r="H17" s="780"/>
      <c r="I17" s="780"/>
      <c r="J17" s="780"/>
      <c r="K17" s="780"/>
      <c r="L17" s="780"/>
      <c r="M17" s="780"/>
      <c r="N17" s="780"/>
      <c r="O17" s="780"/>
      <c r="P17" s="780"/>
      <c r="Q17" s="780"/>
      <c r="R17" s="367">
        <f>SUM(E17:Q17)</f>
        <v>0</v>
      </c>
      <c r="S17" s="780"/>
      <c r="T17" s="780"/>
      <c r="U17" s="1085"/>
    </row>
    <row r="18" spans="1:21" s="83" customFormat="1">
      <c r="A18" s="170" t="s">
        <v>1769</v>
      </c>
      <c r="B18" s="216">
        <f t="shared" si="3"/>
        <v>0</v>
      </c>
      <c r="C18" s="780"/>
      <c r="D18" s="780"/>
      <c r="E18" s="780"/>
      <c r="F18" s="780"/>
      <c r="G18" s="780"/>
      <c r="H18" s="780"/>
      <c r="I18" s="780"/>
      <c r="J18" s="780"/>
      <c r="K18" s="780"/>
      <c r="L18" s="780"/>
      <c r="M18" s="780"/>
      <c r="N18" s="780"/>
      <c r="O18" s="780"/>
      <c r="P18" s="780"/>
      <c r="Q18" s="780"/>
      <c r="R18" s="367">
        <f>SUM(E18:Q18)</f>
        <v>0</v>
      </c>
      <c r="S18" s="780"/>
      <c r="T18" s="780"/>
      <c r="U18" s="1085"/>
    </row>
    <row r="19" spans="1:21" s="83" customFormat="1">
      <c r="A19" s="170" t="s">
        <v>1770</v>
      </c>
      <c r="B19" s="216">
        <f t="shared" si="3"/>
        <v>0</v>
      </c>
      <c r="C19" s="780"/>
      <c r="D19" s="780"/>
      <c r="E19" s="780"/>
      <c r="F19" s="780"/>
      <c r="G19" s="780"/>
      <c r="H19" s="780"/>
      <c r="I19" s="780"/>
      <c r="J19" s="780"/>
      <c r="K19" s="780"/>
      <c r="L19" s="780"/>
      <c r="M19" s="780"/>
      <c r="N19" s="780"/>
      <c r="O19" s="780"/>
      <c r="P19" s="780"/>
      <c r="Q19" s="780"/>
      <c r="R19" s="367">
        <f>SUM(E19:Q19)</f>
        <v>0</v>
      </c>
      <c r="S19" s="780"/>
      <c r="T19" s="780"/>
      <c r="U19" s="1085"/>
    </row>
    <row r="20" spans="1:21" s="83" customFormat="1">
      <c r="A20" s="170" t="s">
        <v>1771</v>
      </c>
      <c r="B20" s="216">
        <f t="shared" si="3"/>
        <v>0</v>
      </c>
      <c r="C20" s="780"/>
      <c r="D20" s="780"/>
      <c r="E20" s="780"/>
      <c r="F20" s="780"/>
      <c r="G20" s="780"/>
      <c r="H20" s="780"/>
      <c r="I20" s="780"/>
      <c r="J20" s="780"/>
      <c r="K20" s="780"/>
      <c r="L20" s="780"/>
      <c r="M20" s="780"/>
      <c r="N20" s="780"/>
      <c r="O20" s="780"/>
      <c r="P20" s="780"/>
      <c r="Q20" s="780"/>
      <c r="R20" s="367">
        <f t="shared" ref="R20:R27" si="4">SUM(E20:Q20)</f>
        <v>0</v>
      </c>
      <c r="S20" s="780"/>
      <c r="T20" s="780"/>
      <c r="U20" s="1085"/>
    </row>
    <row r="21" spans="1:21" s="83" customFormat="1">
      <c r="A21" s="170" t="s">
        <v>1772</v>
      </c>
      <c r="B21" s="216">
        <f t="shared" si="3"/>
        <v>0</v>
      </c>
      <c r="C21" s="780"/>
      <c r="D21" s="780"/>
      <c r="E21" s="780"/>
      <c r="F21" s="780"/>
      <c r="G21" s="780"/>
      <c r="H21" s="780"/>
      <c r="I21" s="780"/>
      <c r="J21" s="780"/>
      <c r="K21" s="780"/>
      <c r="L21" s="780"/>
      <c r="M21" s="780"/>
      <c r="N21" s="780"/>
      <c r="O21" s="780"/>
      <c r="P21" s="780"/>
      <c r="Q21" s="780"/>
      <c r="R21" s="367">
        <f t="shared" si="4"/>
        <v>0</v>
      </c>
      <c r="S21" s="780"/>
      <c r="T21" s="780"/>
      <c r="U21" s="1085"/>
    </row>
    <row r="22" spans="1:21" s="83" customFormat="1">
      <c r="A22" s="170" t="s">
        <v>1773</v>
      </c>
      <c r="B22" s="216">
        <f t="shared" si="3"/>
        <v>0</v>
      </c>
      <c r="C22" s="780"/>
      <c r="D22" s="780"/>
      <c r="E22" s="780"/>
      <c r="F22" s="780"/>
      <c r="G22" s="780"/>
      <c r="H22" s="780"/>
      <c r="I22" s="780"/>
      <c r="J22" s="780"/>
      <c r="K22" s="780"/>
      <c r="L22" s="780"/>
      <c r="M22" s="780"/>
      <c r="N22" s="780"/>
      <c r="O22" s="780"/>
      <c r="P22" s="780"/>
      <c r="Q22" s="780"/>
      <c r="R22" s="367">
        <f t="shared" si="4"/>
        <v>0</v>
      </c>
      <c r="S22" s="780"/>
      <c r="T22" s="780"/>
      <c r="U22" s="1085"/>
    </row>
    <row r="23" spans="1:21" s="83" customFormat="1">
      <c r="A23" s="170" t="s">
        <v>1774</v>
      </c>
      <c r="B23" s="216">
        <f t="shared" si="3"/>
        <v>0</v>
      </c>
      <c r="C23" s="780"/>
      <c r="D23" s="780"/>
      <c r="E23" s="780"/>
      <c r="F23" s="780"/>
      <c r="G23" s="780"/>
      <c r="H23" s="780"/>
      <c r="I23" s="780"/>
      <c r="J23" s="780"/>
      <c r="K23" s="780"/>
      <c r="L23" s="780"/>
      <c r="M23" s="780"/>
      <c r="N23" s="780"/>
      <c r="O23" s="780"/>
      <c r="P23" s="780"/>
      <c r="Q23" s="780"/>
      <c r="R23" s="367">
        <f t="shared" si="4"/>
        <v>0</v>
      </c>
      <c r="S23" s="780"/>
      <c r="T23" s="780"/>
      <c r="U23" s="1085"/>
    </row>
    <row r="24" spans="1:21" s="83" customFormat="1">
      <c r="A24" s="360" t="s">
        <v>1775</v>
      </c>
      <c r="B24" s="216">
        <f t="shared" si="3"/>
        <v>0</v>
      </c>
      <c r="C24" s="780"/>
      <c r="D24" s="780"/>
      <c r="E24" s="780"/>
      <c r="F24" s="780"/>
      <c r="G24" s="780"/>
      <c r="H24" s="780"/>
      <c r="I24" s="780"/>
      <c r="J24" s="780"/>
      <c r="K24" s="780"/>
      <c r="L24" s="780"/>
      <c r="M24" s="780"/>
      <c r="N24" s="780"/>
      <c r="O24" s="780"/>
      <c r="P24" s="780"/>
      <c r="Q24" s="780"/>
      <c r="R24" s="367">
        <f t="shared" si="4"/>
        <v>0</v>
      </c>
      <c r="S24" s="780"/>
      <c r="T24" s="780"/>
      <c r="U24" s="1085"/>
    </row>
    <row r="25" spans="1:21" s="83" customFormat="1">
      <c r="A25" s="932" t="s">
        <v>1776</v>
      </c>
      <c r="B25" s="216">
        <f t="shared" si="3"/>
        <v>0</v>
      </c>
      <c r="C25" s="780"/>
      <c r="D25" s="780"/>
      <c r="E25" s="780"/>
      <c r="F25" s="780"/>
      <c r="G25" s="780"/>
      <c r="H25" s="780"/>
      <c r="I25" s="780"/>
      <c r="J25" s="780"/>
      <c r="K25" s="780"/>
      <c r="L25" s="780"/>
      <c r="M25" s="780"/>
      <c r="N25" s="780"/>
      <c r="O25" s="780"/>
      <c r="P25" s="780"/>
      <c r="Q25" s="780"/>
      <c r="R25" s="367">
        <f t="shared" si="4"/>
        <v>0</v>
      </c>
      <c r="S25" s="780"/>
      <c r="T25" s="780"/>
      <c r="U25" s="1085"/>
    </row>
    <row r="26" spans="1:21" s="83" customFormat="1">
      <c r="A26" s="84" t="s">
        <v>1777</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216">
        <f>SUM(R17:R25)</f>
        <v>0</v>
      </c>
      <c r="S26" s="85">
        <f>SUM(S17:S25)</f>
        <v>0</v>
      </c>
      <c r="T26" s="85">
        <f>SUM(T17:T25)</f>
        <v>0</v>
      </c>
      <c r="U26" s="1085"/>
    </row>
    <row r="27" spans="1:21" s="83" customFormat="1">
      <c r="A27" s="84" t="s">
        <v>1778</v>
      </c>
      <c r="B27" s="216">
        <f>SUM(C27:D27)</f>
        <v>0</v>
      </c>
      <c r="C27" s="780"/>
      <c r="D27" s="780"/>
      <c r="E27" s="780"/>
      <c r="F27" s="780"/>
      <c r="G27" s="780"/>
      <c r="H27" s="780"/>
      <c r="I27" s="780"/>
      <c r="J27" s="780"/>
      <c r="K27" s="780"/>
      <c r="L27" s="780"/>
      <c r="M27" s="780"/>
      <c r="N27" s="780"/>
      <c r="O27" s="780"/>
      <c r="P27" s="780"/>
      <c r="Q27" s="780"/>
      <c r="R27" s="367">
        <f t="shared" si="4"/>
        <v>0</v>
      </c>
      <c r="S27" s="780"/>
      <c r="T27" s="780"/>
      <c r="U27" s="1085"/>
    </row>
    <row r="28" spans="1:21" s="83" customFormat="1" ht="12">
      <c r="A28" s="82" t="s">
        <v>1779</v>
      </c>
      <c r="B28" s="1084"/>
      <c r="C28" s="1084"/>
      <c r="D28" s="1084"/>
      <c r="E28" s="217"/>
      <c r="F28" s="217"/>
      <c r="G28" s="217"/>
      <c r="H28" s="217"/>
      <c r="I28" s="217"/>
      <c r="J28" s="217"/>
      <c r="K28" s="217"/>
      <c r="L28" s="217"/>
      <c r="M28" s="217"/>
      <c r="N28" s="217"/>
      <c r="O28" s="217"/>
      <c r="P28" s="217"/>
      <c r="Q28" s="217"/>
      <c r="R28" s="217"/>
      <c r="S28" s="1084"/>
      <c r="T28" s="1084"/>
      <c r="U28" s="1085"/>
    </row>
    <row r="29" spans="1:21" s="83" customFormat="1">
      <c r="A29" s="170" t="s">
        <v>1768</v>
      </c>
      <c r="B29" s="216">
        <f t="shared" ref="B29:B38" si="6">SUM(C29+D29)</f>
        <v>1000000</v>
      </c>
      <c r="C29" s="780">
        <v>1000000</v>
      </c>
      <c r="D29" s="780"/>
      <c r="E29" s="780"/>
      <c r="F29" s="780">
        <f>C29</f>
        <v>1000000</v>
      </c>
      <c r="G29" s="780"/>
      <c r="H29" s="780"/>
      <c r="I29" s="780"/>
      <c r="J29" s="780"/>
      <c r="K29" s="780"/>
      <c r="L29" s="780"/>
      <c r="M29" s="780"/>
      <c r="N29" s="780"/>
      <c r="O29" s="780"/>
      <c r="P29" s="780"/>
      <c r="Q29" s="780"/>
      <c r="R29" s="367">
        <f t="shared" ref="R29:R37" si="7">SUM(E29:Q29)</f>
        <v>1000000</v>
      </c>
      <c r="S29" s="780">
        <f>C29</f>
        <v>1000000</v>
      </c>
      <c r="T29" s="780"/>
      <c r="U29" s="1085"/>
    </row>
    <row r="30" spans="1:21" s="83" customFormat="1">
      <c r="A30" s="170" t="s">
        <v>1769</v>
      </c>
      <c r="B30" s="216">
        <f t="shared" si="6"/>
        <v>17510151</v>
      </c>
      <c r="C30" s="780">
        <v>17510151</v>
      </c>
      <c r="D30" s="780"/>
      <c r="E30" s="780"/>
      <c r="F30" s="780">
        <f>C30-G30</f>
        <v>6510151</v>
      </c>
      <c r="G30" s="780">
        <v>11000000</v>
      </c>
      <c r="H30" s="780"/>
      <c r="I30" s="780"/>
      <c r="J30" s="780"/>
      <c r="K30" s="780"/>
      <c r="L30" s="780"/>
      <c r="M30" s="780"/>
      <c r="N30" s="780"/>
      <c r="O30" s="780"/>
      <c r="P30" s="780"/>
      <c r="Q30" s="780"/>
      <c r="R30" s="367">
        <f t="shared" si="7"/>
        <v>17510151</v>
      </c>
      <c r="S30" s="780">
        <f>C30</f>
        <v>17510151</v>
      </c>
      <c r="T30" s="780"/>
      <c r="U30" s="1085"/>
    </row>
    <row r="31" spans="1:21" s="83" customFormat="1">
      <c r="A31" s="170" t="s">
        <v>1770</v>
      </c>
      <c r="B31" s="216">
        <f t="shared" si="6"/>
        <v>1368731</v>
      </c>
      <c r="C31" s="780">
        <v>1368731</v>
      </c>
      <c r="D31" s="780"/>
      <c r="E31" s="780"/>
      <c r="F31" s="780">
        <f>C31</f>
        <v>1368731</v>
      </c>
      <c r="G31" s="780"/>
      <c r="H31" s="780"/>
      <c r="I31" s="780"/>
      <c r="J31" s="780"/>
      <c r="K31" s="780"/>
      <c r="L31" s="780"/>
      <c r="M31" s="780"/>
      <c r="N31" s="780"/>
      <c r="O31" s="780"/>
      <c r="P31" s="780"/>
      <c r="Q31" s="780"/>
      <c r="R31" s="367">
        <f t="shared" si="7"/>
        <v>1368731</v>
      </c>
      <c r="S31" s="780">
        <f>C31</f>
        <v>1368731</v>
      </c>
      <c r="T31" s="780"/>
      <c r="U31" s="1085"/>
    </row>
    <row r="32" spans="1:21" s="83" customFormat="1">
      <c r="A32" s="170" t="s">
        <v>1771</v>
      </c>
      <c r="B32" s="216">
        <f t="shared" si="6"/>
        <v>456244</v>
      </c>
      <c r="C32" s="780">
        <v>456244</v>
      </c>
      <c r="D32" s="780"/>
      <c r="E32" s="780"/>
      <c r="F32" s="780">
        <v>456244</v>
      </c>
      <c r="G32" s="780"/>
      <c r="H32" s="780"/>
      <c r="I32" s="780"/>
      <c r="J32" s="780"/>
      <c r="K32" s="780"/>
      <c r="L32" s="780"/>
      <c r="M32" s="780"/>
      <c r="N32" s="780"/>
      <c r="O32" s="780"/>
      <c r="P32" s="780"/>
      <c r="Q32" s="780"/>
      <c r="R32" s="367">
        <f t="shared" si="7"/>
        <v>456244</v>
      </c>
      <c r="S32" s="780">
        <f>R32</f>
        <v>456244</v>
      </c>
      <c r="T32" s="780"/>
      <c r="U32" s="1085"/>
    </row>
    <row r="33" spans="1:21" s="83" customFormat="1">
      <c r="A33" s="170" t="s">
        <v>1772</v>
      </c>
      <c r="B33" s="216">
        <f t="shared" si="6"/>
        <v>1368731</v>
      </c>
      <c r="C33" s="780">
        <v>1368731</v>
      </c>
      <c r="D33" s="780"/>
      <c r="E33" s="780">
        <f t="shared" ref="E33:E35" si="8">C33</f>
        <v>1368731</v>
      </c>
      <c r="F33" s="780"/>
      <c r="G33" s="780"/>
      <c r="H33" s="780"/>
      <c r="I33" s="780"/>
      <c r="J33" s="780"/>
      <c r="K33" s="780"/>
      <c r="L33" s="780"/>
      <c r="M33" s="780"/>
      <c r="N33" s="780"/>
      <c r="O33" s="780"/>
      <c r="P33" s="780"/>
      <c r="Q33" s="780"/>
      <c r="R33" s="367">
        <f t="shared" si="7"/>
        <v>1368731</v>
      </c>
      <c r="S33" s="780">
        <f t="shared" ref="S33:S35" si="9">E33</f>
        <v>1368731</v>
      </c>
      <c r="T33" s="780"/>
      <c r="U33" s="1085"/>
    </row>
    <row r="34" spans="1:21" s="83" customFormat="1">
      <c r="A34" s="170" t="s">
        <v>1773</v>
      </c>
      <c r="B34" s="216">
        <f t="shared" si="6"/>
        <v>3802030</v>
      </c>
      <c r="C34" s="780">
        <v>3802030</v>
      </c>
      <c r="D34" s="780"/>
      <c r="E34" s="780">
        <f>C34-F34</f>
        <v>2410244</v>
      </c>
      <c r="F34" s="780">
        <f>10726912-F32-F31-F30-F29</f>
        <v>1391786</v>
      </c>
      <c r="G34" s="780"/>
      <c r="H34" s="780"/>
      <c r="I34" s="780"/>
      <c r="J34" s="780"/>
      <c r="K34" s="780"/>
      <c r="L34" s="780"/>
      <c r="M34" s="780"/>
      <c r="N34" s="780"/>
      <c r="O34" s="780"/>
      <c r="P34" s="780"/>
      <c r="Q34" s="780"/>
      <c r="R34" s="367">
        <f t="shared" si="7"/>
        <v>3802030</v>
      </c>
      <c r="S34" s="780">
        <f>R34</f>
        <v>3802030</v>
      </c>
      <c r="T34" s="780"/>
      <c r="U34" s="1085"/>
    </row>
    <row r="35" spans="1:21" s="83" customFormat="1">
      <c r="A35" s="170" t="s">
        <v>1774</v>
      </c>
      <c r="B35" s="216">
        <f t="shared" si="6"/>
        <v>260059</v>
      </c>
      <c r="C35" s="780">
        <v>260059</v>
      </c>
      <c r="D35" s="780"/>
      <c r="E35" s="780">
        <f t="shared" si="8"/>
        <v>260059</v>
      </c>
      <c r="F35" s="780"/>
      <c r="G35" s="780"/>
      <c r="H35" s="780"/>
      <c r="I35" s="780"/>
      <c r="J35" s="780"/>
      <c r="K35" s="780"/>
      <c r="L35" s="780"/>
      <c r="M35" s="780"/>
      <c r="N35" s="780"/>
      <c r="O35" s="780"/>
      <c r="P35" s="780"/>
      <c r="Q35" s="780"/>
      <c r="R35" s="367">
        <f t="shared" si="7"/>
        <v>260059</v>
      </c>
      <c r="S35" s="780">
        <f t="shared" si="9"/>
        <v>260059</v>
      </c>
      <c r="T35" s="780"/>
      <c r="U35" s="1085"/>
    </row>
    <row r="36" spans="1:21" s="83" customFormat="1">
      <c r="A36" s="170" t="s">
        <v>1775</v>
      </c>
      <c r="B36" s="216">
        <f t="shared" si="6"/>
        <v>0</v>
      </c>
      <c r="C36" s="780"/>
      <c r="D36" s="780"/>
      <c r="E36" s="780"/>
      <c r="F36" s="780"/>
      <c r="G36" s="780"/>
      <c r="H36" s="780"/>
      <c r="I36" s="780"/>
      <c r="J36" s="780"/>
      <c r="K36" s="780"/>
      <c r="L36" s="780"/>
      <c r="M36" s="780"/>
      <c r="N36" s="780"/>
      <c r="O36" s="780"/>
      <c r="P36" s="780"/>
      <c r="Q36" s="780"/>
      <c r="R36" s="367">
        <f t="shared" si="7"/>
        <v>0</v>
      </c>
      <c r="S36" s="780"/>
      <c r="T36" s="780"/>
      <c r="U36" s="1085"/>
    </row>
    <row r="37" spans="1:21" s="83" customFormat="1">
      <c r="A37" s="932" t="s">
        <v>1776</v>
      </c>
      <c r="B37" s="216">
        <f t="shared" si="6"/>
        <v>0</v>
      </c>
      <c r="C37" s="780"/>
      <c r="D37" s="780"/>
      <c r="E37" s="780"/>
      <c r="F37" s="780"/>
      <c r="G37" s="780"/>
      <c r="H37" s="780"/>
      <c r="I37" s="780"/>
      <c r="J37" s="780"/>
      <c r="K37" s="780"/>
      <c r="L37" s="780"/>
      <c r="M37" s="780"/>
      <c r="N37" s="780"/>
      <c r="O37" s="780"/>
      <c r="P37" s="780"/>
      <c r="Q37" s="780"/>
      <c r="R37" s="367">
        <f t="shared" si="7"/>
        <v>0</v>
      </c>
      <c r="S37" s="780"/>
      <c r="T37" s="780"/>
      <c r="U37" s="1085"/>
    </row>
    <row r="38" spans="1:21" s="83" customFormat="1">
      <c r="A38" s="84" t="s">
        <v>1780</v>
      </c>
      <c r="B38" s="216">
        <f t="shared" si="6"/>
        <v>25765946</v>
      </c>
      <c r="C38" s="216">
        <f>SUM(C29:C37)</f>
        <v>25765946</v>
      </c>
      <c r="D38" s="216">
        <f t="shared" ref="D38:Q38" si="10">SUM(D29:D37)</f>
        <v>0</v>
      </c>
      <c r="E38" s="216">
        <f t="shared" si="10"/>
        <v>4039034</v>
      </c>
      <c r="F38" s="216">
        <f t="shared" si="10"/>
        <v>10726912</v>
      </c>
      <c r="G38" s="216">
        <f t="shared" si="10"/>
        <v>11000000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216">
        <f>SUM(R29:R37)</f>
        <v>25765946</v>
      </c>
      <c r="S38" s="85">
        <f>SUM(S29:S37)</f>
        <v>25765946</v>
      </c>
      <c r="T38" s="85">
        <f>SUM(T29:T37)</f>
        <v>0</v>
      </c>
      <c r="U38" s="1085"/>
    </row>
    <row r="39" spans="1:21" s="83" customFormat="1" ht="12">
      <c r="A39" s="82" t="s">
        <v>1781</v>
      </c>
      <c r="B39" s="1084"/>
      <c r="C39" s="1084"/>
      <c r="D39" s="1084"/>
      <c r="E39" s="217"/>
      <c r="F39" s="217"/>
      <c r="G39" s="217"/>
      <c r="H39" s="217"/>
      <c r="I39" s="217"/>
      <c r="J39" s="217"/>
      <c r="K39" s="217"/>
      <c r="L39" s="217"/>
      <c r="M39" s="217"/>
      <c r="N39" s="217"/>
      <c r="O39" s="217"/>
      <c r="P39" s="217"/>
      <c r="Q39" s="217"/>
      <c r="R39" s="217"/>
      <c r="S39" s="1084"/>
      <c r="T39" s="1084"/>
      <c r="U39" s="1085"/>
    </row>
    <row r="40" spans="1:21" s="83" customFormat="1">
      <c r="A40" s="170" t="s">
        <v>1782</v>
      </c>
      <c r="B40" s="216">
        <f>SUM(C40+D40)</f>
        <v>800000</v>
      </c>
      <c r="C40" s="780">
        <v>800000</v>
      </c>
      <c r="D40" s="780"/>
      <c r="E40" s="780">
        <f>C40</f>
        <v>800000</v>
      </c>
      <c r="F40" s="780"/>
      <c r="G40" s="780"/>
      <c r="H40" s="780"/>
      <c r="I40" s="780"/>
      <c r="J40" s="780"/>
      <c r="K40" s="780"/>
      <c r="L40" s="780"/>
      <c r="M40" s="780"/>
      <c r="N40" s="780"/>
      <c r="O40" s="780"/>
      <c r="P40" s="780"/>
      <c r="Q40" s="780"/>
      <c r="R40" s="367">
        <f>SUM(E40:Q40)</f>
        <v>800000</v>
      </c>
      <c r="S40" s="780">
        <f>R40</f>
        <v>800000</v>
      </c>
      <c r="T40" s="780"/>
      <c r="U40" s="1085"/>
    </row>
    <row r="41" spans="1:21" s="83" customFormat="1">
      <c r="A41" s="170" t="s">
        <v>1783</v>
      </c>
      <c r="B41" s="216">
        <f>SUM(C41+D41)</f>
        <v>0</v>
      </c>
      <c r="C41" s="780"/>
      <c r="D41" s="780"/>
      <c r="E41" s="780"/>
      <c r="F41" s="780"/>
      <c r="G41" s="780"/>
      <c r="H41" s="780"/>
      <c r="I41" s="780"/>
      <c r="J41" s="780"/>
      <c r="K41" s="780"/>
      <c r="L41" s="780"/>
      <c r="M41" s="780"/>
      <c r="N41" s="780"/>
      <c r="O41" s="780"/>
      <c r="P41" s="780"/>
      <c r="Q41" s="780"/>
      <c r="R41" s="367">
        <f>SUM(E41:Q41)</f>
        <v>0</v>
      </c>
      <c r="S41" s="780"/>
      <c r="T41" s="780"/>
      <c r="U41" s="1085"/>
    </row>
    <row r="42" spans="1:21" s="83" customFormat="1">
      <c r="A42" s="84" t="s">
        <v>1784</v>
      </c>
      <c r="B42" s="216">
        <f>SUM(C42:D42)</f>
        <v>800000</v>
      </c>
      <c r="C42" s="216">
        <f>SUM(C39:C41)</f>
        <v>800000</v>
      </c>
      <c r="D42" s="216">
        <f>SUM(D39:D41)</f>
        <v>0</v>
      </c>
      <c r="E42" s="216">
        <f t="shared" ref="E42:T42" si="11">SUM(E40:E41)</f>
        <v>800000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216">
        <f>SUM(R40:R41)</f>
        <v>800000</v>
      </c>
      <c r="S42" s="85">
        <f t="shared" si="11"/>
        <v>800000</v>
      </c>
      <c r="T42" s="85">
        <f t="shared" si="11"/>
        <v>0</v>
      </c>
      <c r="U42" s="1085"/>
    </row>
    <row r="43" spans="1:21" s="83" customFormat="1">
      <c r="A43" s="84" t="s">
        <v>1785</v>
      </c>
      <c r="B43" s="216">
        <f>SUM(C43:D43)</f>
        <v>650000</v>
      </c>
      <c r="C43" s="780">
        <v>650000</v>
      </c>
      <c r="D43" s="780"/>
      <c r="E43" s="780">
        <f>C43</f>
        <v>650000</v>
      </c>
      <c r="F43" s="780"/>
      <c r="G43" s="780"/>
      <c r="H43" s="780"/>
      <c r="I43" s="780"/>
      <c r="J43" s="780"/>
      <c r="K43" s="780"/>
      <c r="L43" s="780"/>
      <c r="M43" s="780"/>
      <c r="N43" s="780"/>
      <c r="O43" s="780"/>
      <c r="P43" s="780"/>
      <c r="Q43" s="780"/>
      <c r="R43" s="367">
        <f>SUM(E43:Q43)</f>
        <v>650000</v>
      </c>
      <c r="S43" s="780">
        <f>R43</f>
        <v>650000</v>
      </c>
      <c r="T43" s="780"/>
      <c r="U43" s="1085"/>
    </row>
    <row r="44" spans="1:21" s="83" customFormat="1" ht="12">
      <c r="A44" s="82" t="s">
        <v>1786</v>
      </c>
      <c r="B44" s="1084"/>
      <c r="C44" s="1084"/>
      <c r="D44" s="1084"/>
      <c r="E44" s="217"/>
      <c r="F44" s="217"/>
      <c r="G44" s="217"/>
      <c r="H44" s="217"/>
      <c r="I44" s="217"/>
      <c r="J44" s="217"/>
      <c r="K44" s="217"/>
      <c r="L44" s="217"/>
      <c r="M44" s="217"/>
      <c r="N44" s="217"/>
      <c r="O44" s="217"/>
      <c r="P44" s="217"/>
      <c r="Q44" s="217"/>
      <c r="R44" s="217"/>
      <c r="S44" s="1084"/>
      <c r="T44" s="1084"/>
      <c r="U44" s="1085"/>
    </row>
    <row r="45" spans="1:21" s="83" customFormat="1">
      <c r="A45" s="170" t="s">
        <v>1787</v>
      </c>
      <c r="B45" s="216">
        <f t="shared" ref="B45:B53" si="12">SUM(C45+D45)</f>
        <v>1803893</v>
      </c>
      <c r="C45" s="780">
        <v>1803893</v>
      </c>
      <c r="D45" s="780"/>
      <c r="E45" s="780">
        <f>C45</f>
        <v>1803893</v>
      </c>
      <c r="F45" s="780"/>
      <c r="G45" s="780"/>
      <c r="H45" s="780"/>
      <c r="I45" s="780"/>
      <c r="J45" s="780"/>
      <c r="K45" s="780"/>
      <c r="L45" s="780"/>
      <c r="M45" s="780"/>
      <c r="N45" s="780"/>
      <c r="O45" s="780"/>
      <c r="P45" s="780"/>
      <c r="Q45" s="780"/>
      <c r="R45" s="367">
        <f t="shared" ref="R45:R53" si="13">SUM(E45:Q45)</f>
        <v>1803893</v>
      </c>
      <c r="S45" s="780">
        <v>1061750</v>
      </c>
      <c r="T45" s="780"/>
      <c r="U45" s="1085"/>
    </row>
    <row r="46" spans="1:21" s="83" customFormat="1">
      <c r="A46" s="170" t="s">
        <v>1788</v>
      </c>
      <c r="B46" s="216">
        <f t="shared" si="12"/>
        <v>168018</v>
      </c>
      <c r="C46" s="780">
        <v>168018</v>
      </c>
      <c r="D46" s="780"/>
      <c r="E46" s="780">
        <f t="shared" ref="E46:E53" si="14">C46</f>
        <v>168018</v>
      </c>
      <c r="F46" s="780"/>
      <c r="G46" s="780"/>
      <c r="H46" s="780"/>
      <c r="I46" s="780"/>
      <c r="J46" s="780"/>
      <c r="K46" s="780"/>
      <c r="L46" s="780"/>
      <c r="M46" s="780"/>
      <c r="N46" s="780"/>
      <c r="O46" s="780"/>
      <c r="P46" s="780"/>
      <c r="Q46" s="780"/>
      <c r="R46" s="367">
        <f t="shared" si="13"/>
        <v>168018</v>
      </c>
      <c r="S46" s="780">
        <v>126014</v>
      </c>
      <c r="T46" s="780"/>
      <c r="U46" s="1085"/>
    </row>
    <row r="47" spans="1:21" s="83" customFormat="1">
      <c r="A47" s="1087" t="s">
        <v>1789</v>
      </c>
      <c r="B47" s="216">
        <f t="shared" si="12"/>
        <v>15000</v>
      </c>
      <c r="C47" s="780">
        <v>15000</v>
      </c>
      <c r="D47" s="780"/>
      <c r="E47" s="780">
        <f t="shared" si="14"/>
        <v>15000</v>
      </c>
      <c r="F47" s="780"/>
      <c r="G47" s="780"/>
      <c r="H47" s="780"/>
      <c r="I47" s="780"/>
      <c r="J47" s="780"/>
      <c r="K47" s="780"/>
      <c r="L47" s="780"/>
      <c r="M47" s="780"/>
      <c r="N47" s="780"/>
      <c r="O47" s="780"/>
      <c r="P47" s="780"/>
      <c r="Q47" s="780"/>
      <c r="R47" s="367">
        <f t="shared" si="13"/>
        <v>15000</v>
      </c>
      <c r="S47" s="780">
        <v>11250</v>
      </c>
      <c r="T47" s="780"/>
      <c r="U47" s="1085"/>
    </row>
    <row r="48" spans="1:21" s="83" customFormat="1">
      <c r="A48" s="170" t="s">
        <v>1790</v>
      </c>
      <c r="B48" s="216">
        <f t="shared" si="12"/>
        <v>234053</v>
      </c>
      <c r="C48" s="780">
        <v>234053</v>
      </c>
      <c r="D48" s="780"/>
      <c r="E48" s="780">
        <f t="shared" si="14"/>
        <v>234053</v>
      </c>
      <c r="F48" s="780"/>
      <c r="G48" s="780"/>
      <c r="H48" s="780"/>
      <c r="I48" s="780"/>
      <c r="J48" s="780"/>
      <c r="K48" s="780"/>
      <c r="L48" s="780"/>
      <c r="M48" s="780"/>
      <c r="N48" s="780"/>
      <c r="O48" s="780"/>
      <c r="P48" s="780"/>
      <c r="Q48" s="780"/>
      <c r="R48" s="367">
        <f t="shared" si="13"/>
        <v>234053</v>
      </c>
      <c r="S48" s="780">
        <f>R48</f>
        <v>234053</v>
      </c>
      <c r="T48" s="780"/>
      <c r="U48" s="1085"/>
    </row>
    <row r="49" spans="1:21" s="83" customFormat="1">
      <c r="A49" s="170" t="s">
        <v>1791</v>
      </c>
      <c r="B49" s="216">
        <f t="shared" si="12"/>
        <v>42005</v>
      </c>
      <c r="C49" s="780">
        <v>42005</v>
      </c>
      <c r="D49" s="780"/>
      <c r="E49" s="780">
        <f t="shared" si="14"/>
        <v>42005</v>
      </c>
      <c r="F49" s="780"/>
      <c r="G49" s="780"/>
      <c r="H49" s="780"/>
      <c r="I49" s="780"/>
      <c r="J49" s="780"/>
      <c r="K49" s="780"/>
      <c r="L49" s="780"/>
      <c r="M49" s="780"/>
      <c r="N49" s="780"/>
      <c r="O49" s="780"/>
      <c r="P49" s="780"/>
      <c r="Q49" s="780"/>
      <c r="R49" s="367">
        <f t="shared" si="13"/>
        <v>42005</v>
      </c>
      <c r="S49" s="780">
        <f>R49</f>
        <v>42005</v>
      </c>
      <c r="T49" s="780"/>
      <c r="U49" s="1085"/>
    </row>
    <row r="50" spans="1:21" s="83" customFormat="1">
      <c r="A50" s="170" t="s">
        <v>1792</v>
      </c>
      <c r="B50" s="216">
        <f t="shared" si="12"/>
        <v>100000</v>
      </c>
      <c r="C50" s="780">
        <v>100000</v>
      </c>
      <c r="D50" s="780"/>
      <c r="E50" s="780">
        <f t="shared" si="14"/>
        <v>100000</v>
      </c>
      <c r="F50" s="780"/>
      <c r="G50" s="780"/>
      <c r="H50" s="780"/>
      <c r="I50" s="780"/>
      <c r="J50" s="780"/>
      <c r="K50" s="780"/>
      <c r="L50" s="780"/>
      <c r="M50" s="780"/>
      <c r="N50" s="780"/>
      <c r="O50" s="780"/>
      <c r="P50" s="780"/>
      <c r="Q50" s="780"/>
      <c r="R50" s="367">
        <f t="shared" si="13"/>
        <v>100000</v>
      </c>
      <c r="S50" s="780">
        <v>75000</v>
      </c>
      <c r="T50" s="780"/>
      <c r="U50" s="1085"/>
    </row>
    <row r="51" spans="1:21" s="83" customFormat="1">
      <c r="A51" s="170" t="s">
        <v>1793</v>
      </c>
      <c r="B51" s="216">
        <f t="shared" si="12"/>
        <v>105000</v>
      </c>
      <c r="C51" s="780">
        <v>105000</v>
      </c>
      <c r="D51" s="780"/>
      <c r="E51" s="780">
        <f t="shared" si="14"/>
        <v>105000</v>
      </c>
      <c r="F51" s="780"/>
      <c r="G51" s="780"/>
      <c r="H51" s="780"/>
      <c r="I51" s="780"/>
      <c r="J51" s="780"/>
      <c r="K51" s="780"/>
      <c r="L51" s="780"/>
      <c r="M51" s="780"/>
      <c r="N51" s="780"/>
      <c r="O51" s="780"/>
      <c r="P51" s="780"/>
      <c r="Q51" s="780"/>
      <c r="R51" s="367">
        <f t="shared" si="13"/>
        <v>105000</v>
      </c>
      <c r="S51" s="780">
        <f>R51</f>
        <v>105000</v>
      </c>
      <c r="T51" s="780"/>
      <c r="U51" s="1085"/>
    </row>
    <row r="52" spans="1:21" s="83" customFormat="1">
      <c r="A52" s="170" t="s">
        <v>1794</v>
      </c>
      <c r="B52" s="216">
        <f t="shared" si="12"/>
        <v>398000</v>
      </c>
      <c r="C52" s="780">
        <v>398000</v>
      </c>
      <c r="D52" s="780"/>
      <c r="E52" s="780">
        <f t="shared" si="14"/>
        <v>398000</v>
      </c>
      <c r="F52" s="780"/>
      <c r="G52" s="780"/>
      <c r="H52" s="780"/>
      <c r="I52" s="780"/>
      <c r="J52" s="780"/>
      <c r="K52" s="780"/>
      <c r="L52" s="780"/>
      <c r="M52" s="780"/>
      <c r="N52" s="780"/>
      <c r="O52" s="780"/>
      <c r="P52" s="780"/>
      <c r="Q52" s="780"/>
      <c r="R52" s="367">
        <f t="shared" si="13"/>
        <v>398000</v>
      </c>
      <c r="S52" s="780">
        <f>R52</f>
        <v>398000</v>
      </c>
      <c r="T52" s="780"/>
      <c r="U52" s="1085"/>
    </row>
    <row r="53" spans="1:21" s="83" customFormat="1">
      <c r="A53" s="932" t="s">
        <v>1795</v>
      </c>
      <c r="B53" s="216">
        <f t="shared" si="12"/>
        <v>25000</v>
      </c>
      <c r="C53" s="780">
        <v>25000</v>
      </c>
      <c r="D53" s="780"/>
      <c r="E53" s="780">
        <f t="shared" si="14"/>
        <v>25000</v>
      </c>
      <c r="F53" s="780"/>
      <c r="G53" s="780"/>
      <c r="H53" s="780"/>
      <c r="I53" s="780"/>
      <c r="J53" s="780"/>
      <c r="K53" s="780"/>
      <c r="L53" s="780"/>
      <c r="M53" s="780"/>
      <c r="N53" s="780"/>
      <c r="O53" s="780"/>
      <c r="P53" s="780"/>
      <c r="Q53" s="780"/>
      <c r="R53" s="367">
        <f t="shared" si="13"/>
        <v>25000</v>
      </c>
      <c r="S53" s="780">
        <f>R53</f>
        <v>25000</v>
      </c>
      <c r="T53" s="780"/>
      <c r="U53" s="1085"/>
    </row>
    <row r="54" spans="1:21" s="87" customFormat="1">
      <c r="A54" s="84" t="s">
        <v>1796</v>
      </c>
      <c r="B54" s="85">
        <f>SUM(C54:D54)</f>
        <v>2890969</v>
      </c>
      <c r="C54" s="85">
        <f t="shared" ref="C54:T54" si="15">SUM(C45:C53)</f>
        <v>2890969</v>
      </c>
      <c r="D54" s="85">
        <f t="shared" si="15"/>
        <v>0</v>
      </c>
      <c r="E54" s="85">
        <f t="shared" si="15"/>
        <v>2890969</v>
      </c>
      <c r="F54" s="85">
        <f t="shared" si="15"/>
        <v>0</v>
      </c>
      <c r="G54" s="85">
        <f t="shared" si="15"/>
        <v>0</v>
      </c>
      <c r="H54" s="85">
        <f t="shared" si="15"/>
        <v>0</v>
      </c>
      <c r="I54" s="85">
        <f t="shared" si="15"/>
        <v>0</v>
      </c>
      <c r="J54" s="85">
        <f t="shared" si="15"/>
        <v>0</v>
      </c>
      <c r="K54" s="85">
        <f t="shared" si="15"/>
        <v>0</v>
      </c>
      <c r="L54" s="85">
        <f t="shared" si="15"/>
        <v>0</v>
      </c>
      <c r="M54" s="85">
        <f t="shared" si="15"/>
        <v>0</v>
      </c>
      <c r="N54" s="85">
        <f t="shared" si="15"/>
        <v>0</v>
      </c>
      <c r="O54" s="85">
        <f t="shared" si="15"/>
        <v>0</v>
      </c>
      <c r="P54" s="85">
        <f t="shared" si="15"/>
        <v>0</v>
      </c>
      <c r="Q54" s="85">
        <f t="shared" si="15"/>
        <v>0</v>
      </c>
      <c r="R54" s="216">
        <f t="shared" si="15"/>
        <v>2890969</v>
      </c>
      <c r="S54" s="85">
        <f t="shared" si="15"/>
        <v>2078072</v>
      </c>
      <c r="T54" s="85">
        <f t="shared" si="15"/>
        <v>0</v>
      </c>
      <c r="U54" s="86"/>
    </row>
    <row r="55" spans="1:21" s="83" customFormat="1" ht="12">
      <c r="A55" s="82" t="s">
        <v>1356</v>
      </c>
      <c r="B55" s="1084"/>
      <c r="C55" s="1084"/>
      <c r="D55" s="1084"/>
      <c r="E55" s="217"/>
      <c r="F55" s="217"/>
      <c r="G55" s="217"/>
      <c r="H55" s="217"/>
      <c r="I55" s="217"/>
      <c r="J55" s="217"/>
      <c r="K55" s="217"/>
      <c r="L55" s="217"/>
      <c r="M55" s="217"/>
      <c r="N55" s="217"/>
      <c r="O55" s="217"/>
      <c r="P55" s="217"/>
      <c r="Q55" s="217"/>
      <c r="R55" s="217"/>
      <c r="S55" s="1084"/>
      <c r="T55" s="1084"/>
      <c r="U55" s="1085"/>
    </row>
    <row r="56" spans="1:21" s="83" customFormat="1">
      <c r="A56" s="170" t="s">
        <v>1797</v>
      </c>
      <c r="B56" s="216">
        <f t="shared" ref="B56:B61" si="16">SUM(C56+D56)</f>
        <v>0</v>
      </c>
      <c r="C56" s="780"/>
      <c r="D56" s="780"/>
      <c r="E56" s="780"/>
      <c r="F56" s="780"/>
      <c r="G56" s="780"/>
      <c r="H56" s="780"/>
      <c r="I56" s="780"/>
      <c r="J56" s="780"/>
      <c r="K56" s="780"/>
      <c r="L56" s="780"/>
      <c r="M56" s="780"/>
      <c r="N56" s="780"/>
      <c r="O56" s="780"/>
      <c r="P56" s="780"/>
      <c r="Q56" s="780"/>
      <c r="R56" s="367">
        <f t="shared" ref="R56:R61" si="17">SUM(E56:Q56)</f>
        <v>0</v>
      </c>
      <c r="S56" s="1086"/>
      <c r="T56" s="1086"/>
      <c r="U56" s="1085"/>
    </row>
    <row r="57" spans="1:21" s="107" customFormat="1">
      <c r="A57" s="1087" t="s">
        <v>1789</v>
      </c>
      <c r="B57" s="1088">
        <f t="shared" si="16"/>
        <v>0</v>
      </c>
      <c r="C57" s="1089"/>
      <c r="D57" s="1089"/>
      <c r="E57" s="1089"/>
      <c r="F57" s="1089"/>
      <c r="G57" s="1089"/>
      <c r="H57" s="1089"/>
      <c r="I57" s="1089"/>
      <c r="J57" s="1089"/>
      <c r="K57" s="1089"/>
      <c r="L57" s="1089"/>
      <c r="M57" s="1089"/>
      <c r="N57" s="1089"/>
      <c r="O57" s="1089"/>
      <c r="P57" s="1089"/>
      <c r="Q57" s="1089"/>
      <c r="R57" s="367">
        <f t="shared" si="17"/>
        <v>0</v>
      </c>
      <c r="S57" s="1090"/>
      <c r="T57" s="1090"/>
      <c r="U57" s="1091"/>
    </row>
    <row r="58" spans="1:21" s="83" customFormat="1">
      <c r="A58" s="170" t="s">
        <v>1792</v>
      </c>
      <c r="B58" s="216">
        <f t="shared" si="16"/>
        <v>10000</v>
      </c>
      <c r="C58" s="780">
        <v>10000</v>
      </c>
      <c r="D58" s="780"/>
      <c r="E58" s="780">
        <f>C58</f>
        <v>10000</v>
      </c>
      <c r="F58" s="780"/>
      <c r="G58" s="780"/>
      <c r="H58" s="780"/>
      <c r="I58" s="780"/>
      <c r="J58" s="780"/>
      <c r="K58" s="780"/>
      <c r="L58" s="780"/>
      <c r="M58" s="780"/>
      <c r="N58" s="780"/>
      <c r="O58" s="780"/>
      <c r="P58" s="780"/>
      <c r="Q58" s="780"/>
      <c r="R58" s="367">
        <f t="shared" si="17"/>
        <v>10000</v>
      </c>
      <c r="S58" s="1086"/>
      <c r="T58" s="1086"/>
      <c r="U58" s="1085"/>
    </row>
    <row r="59" spans="1:21" s="83" customFormat="1">
      <c r="A59" s="170" t="s">
        <v>1793</v>
      </c>
      <c r="B59" s="216">
        <f t="shared" si="16"/>
        <v>0</v>
      </c>
      <c r="C59" s="780"/>
      <c r="D59" s="780"/>
      <c r="E59" s="780"/>
      <c r="F59" s="780"/>
      <c r="G59" s="780"/>
      <c r="H59" s="780"/>
      <c r="I59" s="780"/>
      <c r="J59" s="780"/>
      <c r="K59" s="780"/>
      <c r="L59" s="780"/>
      <c r="M59" s="780"/>
      <c r="N59" s="780"/>
      <c r="O59" s="780"/>
      <c r="P59" s="780"/>
      <c r="Q59" s="780"/>
      <c r="R59" s="367">
        <f t="shared" si="17"/>
        <v>0</v>
      </c>
      <c r="S59" s="1086"/>
      <c r="T59" s="1086"/>
      <c r="U59" s="1085"/>
    </row>
    <row r="60" spans="1:21" s="83" customFormat="1">
      <c r="A60" s="170" t="s">
        <v>1794</v>
      </c>
      <c r="B60" s="216">
        <f t="shared" si="16"/>
        <v>15000</v>
      </c>
      <c r="C60" s="780">
        <v>15000</v>
      </c>
      <c r="D60" s="780"/>
      <c r="E60" s="780">
        <f>C60</f>
        <v>15000</v>
      </c>
      <c r="F60" s="780"/>
      <c r="G60" s="780"/>
      <c r="H60" s="780"/>
      <c r="I60" s="780"/>
      <c r="J60" s="780"/>
      <c r="K60" s="780"/>
      <c r="L60" s="780"/>
      <c r="M60" s="780"/>
      <c r="N60" s="780"/>
      <c r="O60" s="780"/>
      <c r="P60" s="780"/>
      <c r="Q60" s="780"/>
      <c r="R60" s="367">
        <f t="shared" si="17"/>
        <v>15000</v>
      </c>
      <c r="S60" s="1086"/>
      <c r="T60" s="1086"/>
      <c r="U60" s="1085"/>
    </row>
    <row r="61" spans="1:21" s="83" customFormat="1">
      <c r="A61" s="932" t="s">
        <v>1776</v>
      </c>
      <c r="B61" s="216">
        <f t="shared" si="16"/>
        <v>0</v>
      </c>
      <c r="C61" s="780"/>
      <c r="D61" s="780"/>
      <c r="E61" s="780"/>
      <c r="F61" s="780"/>
      <c r="G61" s="780"/>
      <c r="H61" s="780"/>
      <c r="I61" s="780"/>
      <c r="J61" s="780"/>
      <c r="K61" s="780"/>
      <c r="L61" s="780"/>
      <c r="M61" s="780"/>
      <c r="N61" s="780"/>
      <c r="O61" s="780"/>
      <c r="P61" s="780"/>
      <c r="Q61" s="780"/>
      <c r="R61" s="367">
        <f t="shared" si="17"/>
        <v>0</v>
      </c>
      <c r="S61" s="1086"/>
      <c r="T61" s="1086"/>
      <c r="U61" s="1085"/>
    </row>
    <row r="62" spans="1:21" s="83" customFormat="1" ht="13.75" customHeight="1">
      <c r="A62" s="84" t="s">
        <v>1798</v>
      </c>
      <c r="B62" s="216">
        <f>SUM(C62:D62)</f>
        <v>25000</v>
      </c>
      <c r="C62" s="216">
        <f t="shared" ref="C62:R62" si="18">SUM(C56:C61)</f>
        <v>25000</v>
      </c>
      <c r="D62" s="216">
        <f t="shared" si="18"/>
        <v>0</v>
      </c>
      <c r="E62" s="216">
        <f t="shared" si="18"/>
        <v>25000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216">
        <f t="shared" si="18"/>
        <v>25000</v>
      </c>
      <c r="S62" s="1086"/>
      <c r="T62" s="1086"/>
      <c r="U62" s="1085"/>
    </row>
    <row r="63" spans="1:21" s="83" customFormat="1">
      <c r="A63" s="88" t="s">
        <v>1799</v>
      </c>
      <c r="B63" s="216">
        <f t="shared" ref="B63:R63" si="19">SUM(B8+B11+B13+B14+B15+B26+B27+B38+B42+B43+B54+B62)</f>
        <v>32071915</v>
      </c>
      <c r="C63" s="216">
        <f t="shared" si="19"/>
        <v>32071915</v>
      </c>
      <c r="D63" s="216">
        <f t="shared" si="19"/>
        <v>0</v>
      </c>
      <c r="E63" s="216">
        <f t="shared" si="19"/>
        <v>10345003</v>
      </c>
      <c r="F63" s="216">
        <f t="shared" si="19"/>
        <v>10726912</v>
      </c>
      <c r="G63" s="216">
        <f t="shared" si="19"/>
        <v>11000000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216">
        <f t="shared" si="19"/>
        <v>32071915</v>
      </c>
      <c r="S63" s="216">
        <f>SUM(S10+S13+S14+S15+S26+S27+S38+S42+S43+S54)</f>
        <v>29794018</v>
      </c>
      <c r="T63" s="216">
        <f>SUM(T11+T13+T14+T15+T26+T27+T38+T42+T43+T54)</f>
        <v>0</v>
      </c>
      <c r="U63" s="1085"/>
    </row>
    <row r="64" spans="1:21" s="83" customFormat="1" ht="24">
      <c r="A64" s="82" t="s">
        <v>1800</v>
      </c>
      <c r="B64" s="1084"/>
      <c r="C64" s="1084"/>
      <c r="D64" s="1084"/>
      <c r="E64" s="217"/>
      <c r="F64" s="217"/>
      <c r="G64" s="217"/>
      <c r="H64" s="217"/>
      <c r="I64" s="217"/>
      <c r="J64" s="217"/>
      <c r="K64" s="217"/>
      <c r="L64" s="217"/>
      <c r="M64" s="217"/>
      <c r="N64" s="217"/>
      <c r="O64" s="217"/>
      <c r="P64" s="217"/>
      <c r="Q64" s="217"/>
      <c r="R64" s="217"/>
      <c r="S64" s="1084"/>
      <c r="T64" s="1084"/>
      <c r="U64" s="1085"/>
    </row>
    <row r="65" spans="1:21" s="83" customFormat="1">
      <c r="A65" s="170" t="s">
        <v>1801</v>
      </c>
      <c r="B65" s="216">
        <f>SUM(C65+D65)</f>
        <v>100000</v>
      </c>
      <c r="C65" s="780">
        <v>100000</v>
      </c>
      <c r="D65" s="780"/>
      <c r="E65" s="780">
        <f>C65</f>
        <v>100000</v>
      </c>
      <c r="F65" s="780"/>
      <c r="G65" s="780"/>
      <c r="H65" s="780"/>
      <c r="I65" s="780"/>
      <c r="J65" s="780"/>
      <c r="K65" s="780"/>
      <c r="L65" s="780"/>
      <c r="M65" s="780"/>
      <c r="N65" s="780"/>
      <c r="O65" s="780"/>
      <c r="P65" s="780"/>
      <c r="Q65" s="780"/>
      <c r="R65" s="367">
        <f>SUM(E65:Q65)</f>
        <v>100000</v>
      </c>
      <c r="S65" s="780">
        <f>R65</f>
        <v>100000</v>
      </c>
      <c r="T65" s="780"/>
      <c r="U65" s="1085"/>
    </row>
    <row r="66" spans="1:21" s="83" customFormat="1" ht="24" customHeight="1">
      <c r="A66" s="170" t="s">
        <v>1802</v>
      </c>
      <c r="B66" s="216">
        <f>SUM(C66+D66)</f>
        <v>0</v>
      </c>
      <c r="C66" s="780"/>
      <c r="D66" s="780"/>
      <c r="E66" s="780"/>
      <c r="F66" s="780"/>
      <c r="G66" s="780"/>
      <c r="H66" s="780"/>
      <c r="I66" s="780"/>
      <c r="J66" s="780"/>
      <c r="K66" s="780"/>
      <c r="L66" s="780"/>
      <c r="M66" s="780"/>
      <c r="N66" s="780"/>
      <c r="O66" s="780"/>
      <c r="P66" s="780"/>
      <c r="Q66" s="780"/>
      <c r="R66" s="367">
        <f>SUM(E66:Q66)</f>
        <v>0</v>
      </c>
      <c r="S66" s="780"/>
      <c r="T66" s="780"/>
      <c r="U66" s="1085"/>
    </row>
    <row r="67" spans="1:21" s="83" customFormat="1" ht="24" customHeight="1">
      <c r="A67" s="170" t="s">
        <v>1803</v>
      </c>
      <c r="B67" s="216">
        <f>SUM(C67+D67)</f>
        <v>0</v>
      </c>
      <c r="C67" s="780"/>
      <c r="D67" s="780"/>
      <c r="E67" s="780"/>
      <c r="F67" s="780"/>
      <c r="G67" s="780"/>
      <c r="H67" s="780"/>
      <c r="I67" s="780"/>
      <c r="J67" s="780"/>
      <c r="K67" s="780"/>
      <c r="L67" s="780"/>
      <c r="M67" s="780"/>
      <c r="N67" s="780"/>
      <c r="O67" s="780"/>
      <c r="P67" s="780"/>
      <c r="Q67" s="780"/>
      <c r="R67" s="367">
        <f>SUM(E67:Q67)</f>
        <v>0</v>
      </c>
      <c r="S67" s="780"/>
      <c r="T67" s="780"/>
      <c r="U67" s="1085"/>
    </row>
    <row r="68" spans="1:21" s="83" customFormat="1" ht="12" customHeight="1">
      <c r="A68" s="170" t="s">
        <v>1804</v>
      </c>
      <c r="B68" s="216">
        <f>SUM(C68+D68)</f>
        <v>0</v>
      </c>
      <c r="C68" s="780"/>
      <c r="D68" s="780"/>
      <c r="E68" s="780"/>
      <c r="F68" s="780"/>
      <c r="G68" s="780"/>
      <c r="H68" s="780"/>
      <c r="I68" s="780"/>
      <c r="J68" s="780"/>
      <c r="K68" s="780"/>
      <c r="L68" s="780"/>
      <c r="M68" s="780"/>
      <c r="N68" s="780"/>
      <c r="O68" s="780"/>
      <c r="P68" s="780"/>
      <c r="Q68" s="780"/>
      <c r="R68" s="367">
        <f>SUM(E68:Q68)</f>
        <v>0</v>
      </c>
      <c r="S68" s="780"/>
      <c r="T68" s="780"/>
      <c r="U68" s="1085"/>
    </row>
    <row r="69" spans="1:21" s="83" customFormat="1">
      <c r="A69" s="932" t="s">
        <v>1805</v>
      </c>
      <c r="B69" s="216">
        <f>SUM(C69+D69)</f>
        <v>225000</v>
      </c>
      <c r="C69" s="780">
        <v>225000</v>
      </c>
      <c r="D69" s="780"/>
      <c r="E69" s="780">
        <f>C69</f>
        <v>225000</v>
      </c>
      <c r="F69" s="780"/>
      <c r="G69" s="780"/>
      <c r="H69" s="780"/>
      <c r="I69" s="780"/>
      <c r="J69" s="780"/>
      <c r="K69" s="780"/>
      <c r="L69" s="780"/>
      <c r="M69" s="780"/>
      <c r="N69" s="780"/>
      <c r="O69" s="780"/>
      <c r="P69" s="780"/>
      <c r="Q69" s="780"/>
      <c r="R69" s="367">
        <f>SUM(E69:Q69)</f>
        <v>225000</v>
      </c>
      <c r="S69" s="780">
        <v>75000</v>
      </c>
      <c r="T69" s="780"/>
      <c r="U69" s="1085"/>
    </row>
    <row r="70" spans="1:21" s="83" customFormat="1">
      <c r="A70" s="84" t="s">
        <v>1806</v>
      </c>
      <c r="B70" s="216">
        <f>SUM(C70:D70)</f>
        <v>325000</v>
      </c>
      <c r="C70" s="216">
        <f>SUM(C65:C69)</f>
        <v>325000</v>
      </c>
      <c r="D70" s="216">
        <f>SUM(D65:D69)</f>
        <v>0</v>
      </c>
      <c r="E70" s="216">
        <f t="shared" ref="E70:T70" si="20">SUM(E65:E69)</f>
        <v>325000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216">
        <f t="shared" si="20"/>
        <v>325000</v>
      </c>
      <c r="S70" s="85">
        <f t="shared" si="20"/>
        <v>175000</v>
      </c>
      <c r="T70" s="85">
        <f t="shared" si="20"/>
        <v>0</v>
      </c>
      <c r="U70" s="1085"/>
    </row>
    <row r="71" spans="1:21" s="83" customFormat="1" ht="12">
      <c r="A71" s="82" t="s">
        <v>1807</v>
      </c>
      <c r="B71" s="217"/>
      <c r="C71" s="217"/>
      <c r="D71" s="217"/>
      <c r="E71" s="217"/>
      <c r="F71" s="217"/>
      <c r="G71" s="217"/>
      <c r="H71" s="217"/>
      <c r="I71" s="217"/>
      <c r="J71" s="217"/>
      <c r="K71" s="217"/>
      <c r="L71" s="217"/>
      <c r="M71" s="217"/>
      <c r="N71" s="217"/>
      <c r="O71" s="217"/>
      <c r="P71" s="217"/>
      <c r="Q71" s="217"/>
      <c r="R71" s="217"/>
      <c r="S71" s="217"/>
      <c r="T71" s="217"/>
      <c r="U71" s="1085"/>
    </row>
    <row r="72" spans="1:21" s="83" customFormat="1">
      <c r="A72" s="170" t="s">
        <v>1808</v>
      </c>
      <c r="B72" s="216">
        <f>SUM(C72+D72)</f>
        <v>0</v>
      </c>
      <c r="C72" s="780"/>
      <c r="D72" s="780"/>
      <c r="E72" s="780"/>
      <c r="F72" s="780"/>
      <c r="G72" s="780"/>
      <c r="H72" s="780"/>
      <c r="I72" s="780"/>
      <c r="J72" s="780"/>
      <c r="K72" s="780"/>
      <c r="L72" s="780"/>
      <c r="M72" s="780"/>
      <c r="N72" s="780"/>
      <c r="O72" s="780"/>
      <c r="P72" s="780"/>
      <c r="Q72" s="780"/>
      <c r="R72" s="367">
        <f>SUM(E72:Q72)</f>
        <v>0</v>
      </c>
      <c r="S72" s="1086"/>
      <c r="T72" s="1086"/>
      <c r="U72" s="1085"/>
    </row>
    <row r="73" spans="1:21" s="83" customFormat="1">
      <c r="A73" s="170" t="s">
        <v>1809</v>
      </c>
      <c r="B73" s="216">
        <f>SUM(C73+D73)</f>
        <v>0</v>
      </c>
      <c r="C73" s="780"/>
      <c r="D73" s="780"/>
      <c r="E73" s="780"/>
      <c r="F73" s="780"/>
      <c r="G73" s="780"/>
      <c r="H73" s="780"/>
      <c r="I73" s="780"/>
      <c r="J73" s="780"/>
      <c r="K73" s="780"/>
      <c r="L73" s="780"/>
      <c r="M73" s="780"/>
      <c r="N73" s="780"/>
      <c r="O73" s="780"/>
      <c r="P73" s="780"/>
      <c r="Q73" s="780"/>
      <c r="R73" s="367">
        <f>SUM(E73:Q73)</f>
        <v>0</v>
      </c>
      <c r="S73" s="1086"/>
      <c r="T73" s="1086"/>
      <c r="U73" s="1085"/>
    </row>
    <row r="74" spans="1:21" s="83" customFormat="1">
      <c r="A74" s="310" t="s">
        <v>1810</v>
      </c>
      <c r="B74" s="216">
        <f>SUM(C74+D74)</f>
        <v>0</v>
      </c>
      <c r="C74" s="780"/>
      <c r="D74" s="780"/>
      <c r="E74" s="780"/>
      <c r="F74" s="780"/>
      <c r="G74" s="780"/>
      <c r="H74" s="780"/>
      <c r="I74" s="780"/>
      <c r="J74" s="780"/>
      <c r="K74" s="780"/>
      <c r="L74" s="780"/>
      <c r="M74" s="780"/>
      <c r="N74" s="780"/>
      <c r="O74" s="780"/>
      <c r="P74" s="780"/>
      <c r="Q74" s="780"/>
      <c r="R74" s="367">
        <f>SUM(E74:Q74)</f>
        <v>0</v>
      </c>
      <c r="S74" s="1086"/>
      <c r="T74" s="1086"/>
      <c r="U74" s="1085"/>
    </row>
    <row r="75" spans="1:21" s="83" customFormat="1">
      <c r="A75" s="170" t="s">
        <v>1811</v>
      </c>
      <c r="B75" s="216">
        <f>SUM(C75+D75)</f>
        <v>300008</v>
      </c>
      <c r="C75" s="780">
        <v>300008</v>
      </c>
      <c r="D75" s="780"/>
      <c r="E75" s="780">
        <f>C75</f>
        <v>300008</v>
      </c>
      <c r="F75" s="780"/>
      <c r="G75" s="780"/>
      <c r="H75" s="780"/>
      <c r="I75" s="780"/>
      <c r="J75" s="780"/>
      <c r="K75" s="780"/>
      <c r="L75" s="780"/>
      <c r="M75" s="780"/>
      <c r="N75" s="780"/>
      <c r="O75" s="780"/>
      <c r="P75" s="780"/>
      <c r="Q75" s="780"/>
      <c r="R75" s="367">
        <f>SUM(E75:Q75)</f>
        <v>300008</v>
      </c>
      <c r="S75" s="1086"/>
      <c r="T75" s="1086"/>
      <c r="U75" s="1085"/>
    </row>
    <row r="76" spans="1:21" s="83" customFormat="1">
      <c r="A76" s="932" t="s">
        <v>1776</v>
      </c>
      <c r="B76" s="216">
        <f>SUM(C76+D76)</f>
        <v>0</v>
      </c>
      <c r="C76" s="780"/>
      <c r="D76" s="780"/>
      <c r="E76" s="780"/>
      <c r="F76" s="780"/>
      <c r="G76" s="780"/>
      <c r="H76" s="780"/>
      <c r="I76" s="780"/>
      <c r="J76" s="780"/>
      <c r="K76" s="780"/>
      <c r="L76" s="780"/>
      <c r="M76" s="780"/>
      <c r="N76" s="780"/>
      <c r="O76" s="780"/>
      <c r="P76" s="780"/>
      <c r="Q76" s="780"/>
      <c r="R76" s="367">
        <f>SUM(E76:Q76)</f>
        <v>0</v>
      </c>
      <c r="S76" s="1086"/>
      <c r="T76" s="1086"/>
      <c r="U76" s="1085"/>
    </row>
    <row r="77" spans="1:21" s="83" customFormat="1">
      <c r="A77" s="84" t="s">
        <v>1812</v>
      </c>
      <c r="B77" s="216">
        <f>SUM(C77:D77)</f>
        <v>300008</v>
      </c>
      <c r="C77" s="216">
        <f>SUM(C72:C76)</f>
        <v>300008</v>
      </c>
      <c r="D77" s="216">
        <f>SUM(D72:D76)</f>
        <v>0</v>
      </c>
      <c r="E77" s="216">
        <f t="shared" ref="E77:Q77" si="21">SUM(E72:E76)</f>
        <v>300008</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216">
        <f>SUM(R72:R76)</f>
        <v>300008</v>
      </c>
      <c r="S77" s="1086"/>
      <c r="T77" s="1086"/>
      <c r="U77" s="1085"/>
    </row>
    <row r="78" spans="1:21" s="83" customFormat="1" ht="12">
      <c r="A78" s="82" t="s">
        <v>1813</v>
      </c>
      <c r="B78" s="217"/>
      <c r="C78" s="217"/>
      <c r="D78" s="217"/>
      <c r="E78" s="217"/>
      <c r="F78" s="217"/>
      <c r="G78" s="217"/>
      <c r="H78" s="217"/>
      <c r="I78" s="217"/>
      <c r="J78" s="217"/>
      <c r="K78" s="217"/>
      <c r="L78" s="217"/>
      <c r="M78" s="217"/>
      <c r="N78" s="217"/>
      <c r="O78" s="217"/>
      <c r="P78" s="217"/>
      <c r="Q78" s="217"/>
      <c r="R78" s="217"/>
      <c r="S78" s="217"/>
      <c r="T78" s="217"/>
      <c r="U78" s="1085"/>
    </row>
    <row r="79" spans="1:21" s="83" customFormat="1">
      <c r="A79" s="170" t="s">
        <v>1814</v>
      </c>
      <c r="B79" s="216">
        <f>SUM(C79:D79)</f>
        <v>1325000</v>
      </c>
      <c r="C79" s="780">
        <v>1325000</v>
      </c>
      <c r="D79" s="780"/>
      <c r="E79" s="780">
        <f>C79</f>
        <v>1325000</v>
      </c>
      <c r="F79" s="780"/>
      <c r="G79" s="780"/>
      <c r="H79" s="780"/>
      <c r="I79" s="780"/>
      <c r="J79" s="780"/>
      <c r="K79" s="780"/>
      <c r="L79" s="780"/>
      <c r="M79" s="780"/>
      <c r="N79" s="780"/>
      <c r="O79" s="780"/>
      <c r="P79" s="780"/>
      <c r="Q79" s="780"/>
      <c r="R79" s="367">
        <f>SUM(E79:Q79)</f>
        <v>1325000</v>
      </c>
      <c r="S79" s="780">
        <f>R79</f>
        <v>1325000</v>
      </c>
      <c r="T79" s="780"/>
      <c r="U79" s="1085"/>
    </row>
    <row r="80" spans="1:21" s="83" customFormat="1">
      <c r="A80" s="170" t="s">
        <v>1815</v>
      </c>
      <c r="B80" s="216">
        <f>SUM(C80:D80)</f>
        <v>357437</v>
      </c>
      <c r="C80" s="780">
        <v>357437</v>
      </c>
      <c r="D80" s="780"/>
      <c r="E80" s="780">
        <f>C80</f>
        <v>357437</v>
      </c>
      <c r="F80" s="780"/>
      <c r="G80" s="780"/>
      <c r="H80" s="780"/>
      <c r="I80" s="780"/>
      <c r="J80" s="780"/>
      <c r="K80" s="780"/>
      <c r="L80" s="780"/>
      <c r="M80" s="780"/>
      <c r="N80" s="780"/>
      <c r="O80" s="780"/>
      <c r="P80" s="780"/>
      <c r="Q80" s="780"/>
      <c r="R80" s="367">
        <f>SUM(E80:Q80)</f>
        <v>357437</v>
      </c>
      <c r="S80" s="780">
        <f>R80</f>
        <v>357437</v>
      </c>
      <c r="T80" s="780"/>
      <c r="U80" s="1085"/>
    </row>
    <row r="81" spans="1:21" s="83" customFormat="1">
      <c r="A81" s="84" t="s">
        <v>1816</v>
      </c>
      <c r="B81" s="216">
        <f>SUM(C81:D81)</f>
        <v>1682437</v>
      </c>
      <c r="C81" s="1092">
        <f>SUM(C79:C80)</f>
        <v>1682437</v>
      </c>
      <c r="D81" s="1092">
        <f t="shared" ref="D81:T81" si="22">SUM(D79:D80)</f>
        <v>0</v>
      </c>
      <c r="E81" s="1092">
        <f t="shared" si="22"/>
        <v>1682437</v>
      </c>
      <c r="F81" s="1092">
        <f t="shared" si="22"/>
        <v>0</v>
      </c>
      <c r="G81" s="1092">
        <f t="shared" si="22"/>
        <v>0</v>
      </c>
      <c r="H81" s="1092">
        <f t="shared" si="22"/>
        <v>0</v>
      </c>
      <c r="I81" s="1092">
        <f t="shared" si="22"/>
        <v>0</v>
      </c>
      <c r="J81" s="1092">
        <f t="shared" si="22"/>
        <v>0</v>
      </c>
      <c r="K81" s="1092">
        <f t="shared" si="22"/>
        <v>0</v>
      </c>
      <c r="L81" s="1092">
        <f t="shared" si="22"/>
        <v>0</v>
      </c>
      <c r="M81" s="1092">
        <f t="shared" si="22"/>
        <v>0</v>
      </c>
      <c r="N81" s="1092">
        <f t="shared" si="22"/>
        <v>0</v>
      </c>
      <c r="O81" s="1092">
        <f t="shared" si="22"/>
        <v>0</v>
      </c>
      <c r="P81" s="1092">
        <f t="shared" si="22"/>
        <v>0</v>
      </c>
      <c r="Q81" s="1092">
        <f t="shared" si="22"/>
        <v>0</v>
      </c>
      <c r="R81" s="1092">
        <f t="shared" si="22"/>
        <v>1682437</v>
      </c>
      <c r="S81" s="1092">
        <f t="shared" si="22"/>
        <v>1682437</v>
      </c>
      <c r="T81" s="1092">
        <f t="shared" si="22"/>
        <v>0</v>
      </c>
      <c r="U81" s="1085"/>
    </row>
    <row r="82" spans="1:21" s="83" customFormat="1" ht="12">
      <c r="A82" s="82" t="s">
        <v>1817</v>
      </c>
      <c r="B82" s="217"/>
      <c r="C82" s="217"/>
      <c r="D82" s="217"/>
      <c r="E82" s="217"/>
      <c r="F82" s="217"/>
      <c r="G82" s="217"/>
      <c r="H82" s="217"/>
      <c r="I82" s="217"/>
      <c r="J82" s="217"/>
      <c r="K82" s="217"/>
      <c r="L82" s="217"/>
      <c r="M82" s="217"/>
      <c r="N82" s="217"/>
      <c r="O82" s="217"/>
      <c r="P82" s="217"/>
      <c r="Q82" s="217"/>
      <c r="R82" s="217"/>
      <c r="S82" s="217"/>
      <c r="T82" s="217"/>
      <c r="U82" s="1085"/>
    </row>
    <row r="83" spans="1:21" s="83" customFormat="1" ht="13.75" customHeight="1">
      <c r="A83" s="170" t="s">
        <v>1818</v>
      </c>
      <c r="B83" s="216">
        <f t="shared" ref="B83:B95" si="23">SUM(C83+D83)</f>
        <v>59361</v>
      </c>
      <c r="C83" s="780">
        <v>59361</v>
      </c>
      <c r="D83" s="780"/>
      <c r="E83" s="780">
        <f>C83</f>
        <v>59361</v>
      </c>
      <c r="F83" s="780"/>
      <c r="G83" s="780"/>
      <c r="H83" s="780"/>
      <c r="I83" s="780"/>
      <c r="J83" s="780"/>
      <c r="K83" s="780"/>
      <c r="L83" s="780"/>
      <c r="M83" s="780"/>
      <c r="N83" s="780"/>
      <c r="O83" s="780"/>
      <c r="P83" s="780"/>
      <c r="Q83" s="780"/>
      <c r="R83" s="367">
        <f t="shared" ref="R83:R95" si="24">SUM(E83:Q83)</f>
        <v>59361</v>
      </c>
      <c r="S83" s="1086"/>
      <c r="T83" s="1086"/>
      <c r="U83" s="1085"/>
    </row>
    <row r="84" spans="1:21" s="83" customFormat="1">
      <c r="A84" s="170" t="s">
        <v>1819</v>
      </c>
      <c r="B84" s="216">
        <f t="shared" si="23"/>
        <v>50000</v>
      </c>
      <c r="C84" s="780">
        <v>50000</v>
      </c>
      <c r="D84" s="780"/>
      <c r="E84" s="780">
        <f t="shared" ref="E84:E94" si="25">C84</f>
        <v>50000</v>
      </c>
      <c r="F84" s="780"/>
      <c r="G84" s="780"/>
      <c r="H84" s="780"/>
      <c r="I84" s="780"/>
      <c r="J84" s="780"/>
      <c r="K84" s="780"/>
      <c r="L84" s="780"/>
      <c r="M84" s="780"/>
      <c r="N84" s="780"/>
      <c r="O84" s="780"/>
      <c r="P84" s="780"/>
      <c r="Q84" s="780"/>
      <c r="R84" s="367">
        <f t="shared" si="24"/>
        <v>50000</v>
      </c>
      <c r="S84" s="780">
        <f>R84</f>
        <v>50000</v>
      </c>
      <c r="T84" s="780"/>
      <c r="U84" s="1085"/>
    </row>
    <row r="85" spans="1:21" s="83" customFormat="1">
      <c r="A85" s="170" t="s">
        <v>1820</v>
      </c>
      <c r="B85" s="216">
        <f t="shared" si="23"/>
        <v>2090568</v>
      </c>
      <c r="C85" s="780">
        <v>2090568</v>
      </c>
      <c r="D85" s="780"/>
      <c r="E85" s="780">
        <f t="shared" si="25"/>
        <v>2090568</v>
      </c>
      <c r="F85" s="780"/>
      <c r="G85" s="780"/>
      <c r="H85" s="780"/>
      <c r="I85" s="780"/>
      <c r="J85" s="780"/>
      <c r="K85" s="780"/>
      <c r="L85" s="780"/>
      <c r="M85" s="780"/>
      <c r="N85" s="780"/>
      <c r="O85" s="780"/>
      <c r="P85" s="780"/>
      <c r="Q85" s="780"/>
      <c r="R85" s="367">
        <f t="shared" si="24"/>
        <v>2090568</v>
      </c>
      <c r="S85" s="780">
        <f>R85</f>
        <v>2090568</v>
      </c>
      <c r="T85" s="780"/>
      <c r="U85" s="1085"/>
    </row>
    <row r="86" spans="1:21" s="83" customFormat="1">
      <c r="A86" s="170" t="s">
        <v>1821</v>
      </c>
      <c r="B86" s="216">
        <f t="shared" si="23"/>
        <v>824433</v>
      </c>
      <c r="C86" s="780">
        <v>824433</v>
      </c>
      <c r="D86" s="780"/>
      <c r="E86" s="780">
        <f t="shared" si="25"/>
        <v>824433</v>
      </c>
      <c r="F86" s="780"/>
      <c r="G86" s="780"/>
      <c r="H86" s="780"/>
      <c r="I86" s="780"/>
      <c r="J86" s="780"/>
      <c r="K86" s="780"/>
      <c r="L86" s="780"/>
      <c r="M86" s="780"/>
      <c r="N86" s="780"/>
      <c r="O86" s="780"/>
      <c r="P86" s="780"/>
      <c r="Q86" s="780"/>
      <c r="R86" s="367">
        <f t="shared" si="24"/>
        <v>824433</v>
      </c>
      <c r="S86" s="780">
        <f>R86</f>
        <v>824433</v>
      </c>
      <c r="T86" s="780"/>
      <c r="U86" s="1085"/>
    </row>
    <row r="87" spans="1:21" s="83" customFormat="1">
      <c r="A87" s="170" t="s">
        <v>1822</v>
      </c>
      <c r="B87" s="216">
        <f t="shared" si="23"/>
        <v>0</v>
      </c>
      <c r="C87" s="780"/>
      <c r="D87" s="780"/>
      <c r="E87" s="780">
        <f t="shared" si="25"/>
        <v>0</v>
      </c>
      <c r="F87" s="780"/>
      <c r="G87" s="780"/>
      <c r="H87" s="780"/>
      <c r="I87" s="780"/>
      <c r="J87" s="780"/>
      <c r="K87" s="780"/>
      <c r="L87" s="780"/>
      <c r="M87" s="780"/>
      <c r="N87" s="780"/>
      <c r="O87" s="780"/>
      <c r="P87" s="780"/>
      <c r="Q87" s="780"/>
      <c r="R87" s="367">
        <f t="shared" si="24"/>
        <v>0</v>
      </c>
      <c r="S87" s="780"/>
      <c r="T87" s="780"/>
      <c r="U87" s="1085"/>
    </row>
    <row r="88" spans="1:21" s="83" customFormat="1">
      <c r="A88" s="170" t="s">
        <v>1823</v>
      </c>
      <c r="B88" s="216">
        <f t="shared" si="23"/>
        <v>0</v>
      </c>
      <c r="C88" s="780"/>
      <c r="D88" s="780"/>
      <c r="E88" s="780">
        <f t="shared" si="25"/>
        <v>0</v>
      </c>
      <c r="F88" s="780"/>
      <c r="G88" s="780"/>
      <c r="H88" s="780"/>
      <c r="I88" s="780"/>
      <c r="J88" s="780"/>
      <c r="K88" s="780"/>
      <c r="L88" s="780"/>
      <c r="M88" s="780"/>
      <c r="N88" s="780"/>
      <c r="O88" s="780"/>
      <c r="P88" s="780"/>
      <c r="Q88" s="780"/>
      <c r="R88" s="367">
        <f t="shared" si="24"/>
        <v>0</v>
      </c>
      <c r="S88" s="1086"/>
      <c r="T88" s="1086"/>
      <c r="U88" s="1085"/>
    </row>
    <row r="89" spans="1:21" s="83" customFormat="1">
      <c r="A89" s="170" t="s">
        <v>1824</v>
      </c>
      <c r="B89" s="216">
        <f t="shared" si="23"/>
        <v>0</v>
      </c>
      <c r="C89" s="780"/>
      <c r="D89" s="780"/>
      <c r="E89" s="780">
        <f t="shared" si="25"/>
        <v>0</v>
      </c>
      <c r="F89" s="780"/>
      <c r="G89" s="780"/>
      <c r="H89" s="780"/>
      <c r="I89" s="780"/>
      <c r="J89" s="780"/>
      <c r="K89" s="780"/>
      <c r="L89" s="780"/>
      <c r="M89" s="780"/>
      <c r="N89" s="780"/>
      <c r="O89" s="780"/>
      <c r="P89" s="780"/>
      <c r="Q89" s="780"/>
      <c r="R89" s="367">
        <f t="shared" si="24"/>
        <v>0</v>
      </c>
      <c r="S89" s="780"/>
      <c r="T89" s="780"/>
      <c r="U89" s="1085"/>
    </row>
    <row r="90" spans="1:21" s="83" customFormat="1">
      <c r="A90" s="170" t="s">
        <v>1825</v>
      </c>
      <c r="B90" s="216">
        <f t="shared" si="23"/>
        <v>15000</v>
      </c>
      <c r="C90" s="780">
        <v>15000</v>
      </c>
      <c r="D90" s="780"/>
      <c r="E90" s="780">
        <f t="shared" si="25"/>
        <v>15000</v>
      </c>
      <c r="F90" s="780"/>
      <c r="G90" s="780"/>
      <c r="H90" s="780"/>
      <c r="I90" s="780"/>
      <c r="J90" s="780"/>
      <c r="K90" s="780"/>
      <c r="L90" s="780"/>
      <c r="M90" s="780"/>
      <c r="N90" s="780"/>
      <c r="O90" s="780"/>
      <c r="P90" s="780"/>
      <c r="Q90" s="780"/>
      <c r="R90" s="367">
        <f t="shared" si="24"/>
        <v>15000</v>
      </c>
      <c r="S90" s="780">
        <f>R90</f>
        <v>15000</v>
      </c>
      <c r="T90" s="780"/>
      <c r="U90" s="1085"/>
    </row>
    <row r="91" spans="1:21" s="83" customFormat="1">
      <c r="A91" s="170" t="s">
        <v>1826</v>
      </c>
      <c r="B91" s="216">
        <f t="shared" si="23"/>
        <v>50000</v>
      </c>
      <c r="C91" s="780">
        <v>50000</v>
      </c>
      <c r="D91" s="780"/>
      <c r="E91" s="780">
        <f t="shared" si="25"/>
        <v>50000</v>
      </c>
      <c r="F91" s="780"/>
      <c r="G91" s="780"/>
      <c r="H91" s="780"/>
      <c r="I91" s="780"/>
      <c r="J91" s="780"/>
      <c r="K91" s="780"/>
      <c r="L91" s="780"/>
      <c r="M91" s="780"/>
      <c r="N91" s="780"/>
      <c r="O91" s="780"/>
      <c r="P91" s="780"/>
      <c r="Q91" s="780"/>
      <c r="R91" s="367">
        <f t="shared" si="24"/>
        <v>50000</v>
      </c>
      <c r="S91" s="780">
        <f>R91</f>
        <v>50000</v>
      </c>
      <c r="T91" s="780"/>
      <c r="U91" s="1085"/>
    </row>
    <row r="92" spans="1:21" s="83" customFormat="1">
      <c r="A92" s="170" t="s">
        <v>1827</v>
      </c>
      <c r="B92" s="216">
        <f t="shared" si="23"/>
        <v>20000</v>
      </c>
      <c r="C92" s="780">
        <v>20000</v>
      </c>
      <c r="D92" s="780"/>
      <c r="E92" s="780">
        <f t="shared" si="25"/>
        <v>20000</v>
      </c>
      <c r="F92" s="780"/>
      <c r="G92" s="780"/>
      <c r="H92" s="780"/>
      <c r="I92" s="780"/>
      <c r="J92" s="780"/>
      <c r="K92" s="780"/>
      <c r="L92" s="780"/>
      <c r="M92" s="780"/>
      <c r="N92" s="780"/>
      <c r="O92" s="780"/>
      <c r="P92" s="780"/>
      <c r="Q92" s="780"/>
      <c r="R92" s="367">
        <f t="shared" si="24"/>
        <v>20000</v>
      </c>
      <c r="S92" s="780">
        <f>R92</f>
        <v>20000</v>
      </c>
      <c r="T92" s="780"/>
      <c r="U92" s="1085"/>
    </row>
    <row r="93" spans="1:21" s="83" customFormat="1" ht="23">
      <c r="A93" s="932" t="s">
        <v>1828</v>
      </c>
      <c r="B93" s="216">
        <f t="shared" si="23"/>
        <v>342000</v>
      </c>
      <c r="C93" s="780">
        <f>42000+200000+100000</f>
        <v>342000</v>
      </c>
      <c r="D93" s="780"/>
      <c r="E93" s="780">
        <f t="shared" si="25"/>
        <v>342000</v>
      </c>
      <c r="F93" s="780"/>
      <c r="G93" s="780"/>
      <c r="H93" s="780"/>
      <c r="I93" s="780"/>
      <c r="J93" s="780"/>
      <c r="K93" s="780"/>
      <c r="L93" s="780"/>
      <c r="M93" s="780"/>
      <c r="N93" s="780"/>
      <c r="O93" s="780"/>
      <c r="P93" s="780"/>
      <c r="Q93" s="780"/>
      <c r="R93" s="367">
        <f t="shared" si="24"/>
        <v>342000</v>
      </c>
      <c r="S93" s="780">
        <f>R93</f>
        <v>342000</v>
      </c>
      <c r="T93" s="780"/>
      <c r="U93" s="1085"/>
    </row>
    <row r="94" spans="1:21" s="83" customFormat="1">
      <c r="A94" s="932" t="s">
        <v>1829</v>
      </c>
      <c r="B94" s="216">
        <f t="shared" si="23"/>
        <v>7598</v>
      </c>
      <c r="C94" s="780">
        <v>7598</v>
      </c>
      <c r="D94" s="780"/>
      <c r="E94" s="780">
        <f t="shared" si="25"/>
        <v>7598</v>
      </c>
      <c r="F94" s="780"/>
      <c r="G94" s="780"/>
      <c r="H94" s="780"/>
      <c r="I94" s="780"/>
      <c r="J94" s="780"/>
      <c r="K94" s="780"/>
      <c r="L94" s="780"/>
      <c r="M94" s="780"/>
      <c r="N94" s="780"/>
      <c r="O94" s="780"/>
      <c r="P94" s="780"/>
      <c r="Q94" s="780"/>
      <c r="R94" s="367">
        <f t="shared" si="24"/>
        <v>7598</v>
      </c>
      <c r="S94" s="780">
        <f>R94</f>
        <v>7598</v>
      </c>
      <c r="T94" s="780"/>
      <c r="U94" s="1085"/>
    </row>
    <row r="95" spans="1:21" s="83" customFormat="1">
      <c r="A95" s="932" t="s">
        <v>1776</v>
      </c>
      <c r="B95" s="216">
        <f t="shared" si="23"/>
        <v>0</v>
      </c>
      <c r="C95" s="780"/>
      <c r="D95" s="780"/>
      <c r="E95" s="780"/>
      <c r="F95" s="780"/>
      <c r="G95" s="780"/>
      <c r="H95" s="780"/>
      <c r="I95" s="780"/>
      <c r="J95" s="780"/>
      <c r="K95" s="780"/>
      <c r="L95" s="780"/>
      <c r="M95" s="780"/>
      <c r="N95" s="780"/>
      <c r="O95" s="780"/>
      <c r="P95" s="780"/>
      <c r="Q95" s="780"/>
      <c r="R95" s="367">
        <f t="shared" si="24"/>
        <v>0</v>
      </c>
      <c r="S95" s="780"/>
      <c r="T95" s="780"/>
      <c r="U95" s="1085"/>
    </row>
    <row r="96" spans="1:21" s="83" customFormat="1">
      <c r="A96" s="84" t="s">
        <v>1830</v>
      </c>
      <c r="B96" s="216">
        <f>SUM(C96:D96)</f>
        <v>3458960</v>
      </c>
      <c r="C96" s="216">
        <f t="shared" ref="C96:R96" si="26">SUM(C83:C95)</f>
        <v>3458960</v>
      </c>
      <c r="D96" s="216">
        <f t="shared" si="26"/>
        <v>0</v>
      </c>
      <c r="E96" s="216">
        <f t="shared" si="26"/>
        <v>3458960</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216">
        <f t="shared" si="26"/>
        <v>3458960</v>
      </c>
      <c r="S96" s="85">
        <f>SUM(S84:S87,S89:S95)</f>
        <v>3399599</v>
      </c>
      <c r="T96" s="216">
        <f>SUM(T84:T87,T89:T95)</f>
        <v>0</v>
      </c>
      <c r="U96" s="1085"/>
    </row>
    <row r="97" spans="1:21" s="83" customFormat="1">
      <c r="A97" s="84" t="s">
        <v>1831</v>
      </c>
      <c r="B97" s="216">
        <f>SUM(C97:D97)</f>
        <v>37838320</v>
      </c>
      <c r="C97" s="216">
        <f t="shared" ref="C97:R97" si="27">SUM(C63+C70+C77+C81+C96)</f>
        <v>37838320</v>
      </c>
      <c r="D97" s="216">
        <f t="shared" si="27"/>
        <v>0</v>
      </c>
      <c r="E97" s="216">
        <f t="shared" si="27"/>
        <v>16111408</v>
      </c>
      <c r="F97" s="216">
        <f t="shared" si="27"/>
        <v>10726912</v>
      </c>
      <c r="G97" s="216">
        <f t="shared" si="27"/>
        <v>11000000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37838320</v>
      </c>
      <c r="S97" s="216">
        <f>SUM(S63+S70+S81+S96)</f>
        <v>35051054</v>
      </c>
      <c r="T97" s="216">
        <f>SUM(T63+T70+T81+T96)</f>
        <v>0</v>
      </c>
      <c r="U97" s="1085"/>
    </row>
    <row r="98" spans="1:21" s="83" customFormat="1" ht="12">
      <c r="A98" s="82" t="s">
        <v>1832</v>
      </c>
      <c r="B98" s="217"/>
      <c r="C98" s="217"/>
      <c r="D98" s="217"/>
      <c r="E98" s="217"/>
      <c r="F98" s="217"/>
      <c r="G98" s="217"/>
      <c r="H98" s="217"/>
      <c r="I98" s="217"/>
      <c r="J98" s="217"/>
      <c r="K98" s="217"/>
      <c r="L98" s="217"/>
      <c r="M98" s="217"/>
      <c r="N98" s="217"/>
      <c r="O98" s="217"/>
      <c r="P98" s="217"/>
      <c r="Q98" s="217"/>
      <c r="R98" s="217"/>
      <c r="S98" s="217"/>
      <c r="T98" s="217"/>
      <c r="U98" s="1085"/>
    </row>
    <row r="99" spans="1:21" s="83" customFormat="1">
      <c r="A99" s="170" t="s">
        <v>1833</v>
      </c>
      <c r="B99" s="216">
        <f>SUM(C99+D99)</f>
        <v>5257657</v>
      </c>
      <c r="C99" s="780">
        <v>5257657</v>
      </c>
      <c r="D99" s="780"/>
      <c r="E99" s="780">
        <f>C99-H99</f>
        <v>2332014</v>
      </c>
      <c r="F99" s="780"/>
      <c r="G99" s="780"/>
      <c r="H99" s="780">
        <v>2925643</v>
      </c>
      <c r="I99" s="780"/>
      <c r="J99" s="780"/>
      <c r="K99" s="780"/>
      <c r="L99" s="780"/>
      <c r="M99" s="780"/>
      <c r="N99" s="780"/>
      <c r="O99" s="780"/>
      <c r="P99" s="780"/>
      <c r="Q99" s="780"/>
      <c r="R99" s="367">
        <f>SUM(E99:Q99)</f>
        <v>5257657</v>
      </c>
      <c r="S99" s="780">
        <f>R99</f>
        <v>5257657</v>
      </c>
      <c r="T99" s="780"/>
      <c r="U99" s="1085"/>
    </row>
    <row r="100" spans="1:21" s="83" customFormat="1">
      <c r="A100" s="170" t="s">
        <v>1834</v>
      </c>
      <c r="B100" s="216">
        <f>SUM(C100+D100)</f>
        <v>0</v>
      </c>
      <c r="C100" s="780"/>
      <c r="D100" s="780"/>
      <c r="E100" s="780"/>
      <c r="F100" s="780"/>
      <c r="G100" s="780"/>
      <c r="H100" s="780"/>
      <c r="I100" s="780"/>
      <c r="J100" s="780"/>
      <c r="K100" s="780"/>
      <c r="L100" s="780"/>
      <c r="M100" s="780"/>
      <c r="N100" s="780"/>
      <c r="O100" s="780"/>
      <c r="P100" s="780"/>
      <c r="Q100" s="780"/>
      <c r="R100" s="367">
        <f>SUM(E100:Q100)</f>
        <v>0</v>
      </c>
      <c r="S100" s="780"/>
      <c r="T100" s="780"/>
      <c r="U100" s="1085"/>
    </row>
    <row r="101" spans="1:21" s="83" customFormat="1" ht="12" customHeight="1">
      <c r="A101" s="170" t="s">
        <v>1835</v>
      </c>
      <c r="B101" s="216">
        <f>SUM(C101+D101)</f>
        <v>0</v>
      </c>
      <c r="C101" s="780"/>
      <c r="D101" s="780"/>
      <c r="E101" s="780"/>
      <c r="F101" s="780"/>
      <c r="G101" s="780"/>
      <c r="H101" s="780"/>
      <c r="I101" s="780"/>
      <c r="J101" s="780"/>
      <c r="K101" s="780"/>
      <c r="L101" s="780"/>
      <c r="M101" s="780"/>
      <c r="N101" s="780"/>
      <c r="O101" s="780"/>
      <c r="P101" s="780"/>
      <c r="Q101" s="780"/>
      <c r="R101" s="367">
        <f>SUM(E101:Q101)</f>
        <v>0</v>
      </c>
      <c r="S101" s="780"/>
      <c r="T101" s="780"/>
      <c r="U101" s="1085"/>
    </row>
    <row r="102" spans="1:21" s="83" customFormat="1">
      <c r="A102" s="170" t="s">
        <v>1836</v>
      </c>
      <c r="B102" s="216">
        <f>SUM(C102+D102)</f>
        <v>0</v>
      </c>
      <c r="C102" s="780"/>
      <c r="D102" s="780"/>
      <c r="E102" s="780"/>
      <c r="F102" s="780"/>
      <c r="G102" s="780"/>
      <c r="H102" s="780"/>
      <c r="I102" s="780"/>
      <c r="J102" s="780"/>
      <c r="K102" s="780"/>
      <c r="L102" s="780"/>
      <c r="M102" s="780"/>
      <c r="N102" s="780"/>
      <c r="O102" s="780"/>
      <c r="P102" s="780"/>
      <c r="Q102" s="780"/>
      <c r="R102" s="367">
        <f>SUM(E102:Q102)</f>
        <v>0</v>
      </c>
      <c r="S102" s="780"/>
      <c r="T102" s="780"/>
      <c r="U102" s="1085"/>
    </row>
    <row r="103" spans="1:21" s="83" customFormat="1">
      <c r="A103" s="932" t="s">
        <v>1776</v>
      </c>
      <c r="B103" s="216">
        <f>SUM(C103+D103)</f>
        <v>0</v>
      </c>
      <c r="C103" s="780"/>
      <c r="D103" s="780"/>
      <c r="E103" s="780"/>
      <c r="F103" s="780"/>
      <c r="G103" s="780"/>
      <c r="H103" s="780"/>
      <c r="I103" s="780"/>
      <c r="J103" s="780"/>
      <c r="K103" s="780"/>
      <c r="L103" s="780"/>
      <c r="M103" s="780"/>
      <c r="N103" s="780"/>
      <c r="O103" s="780"/>
      <c r="P103" s="780"/>
      <c r="Q103" s="780"/>
      <c r="R103" s="367">
        <f>SUM(E103:Q103)</f>
        <v>0</v>
      </c>
      <c r="S103" s="780"/>
      <c r="T103" s="780"/>
      <c r="U103" s="1085"/>
    </row>
    <row r="104" spans="1:21" s="83" customFormat="1">
      <c r="A104" s="84" t="s">
        <v>1837</v>
      </c>
      <c r="B104" s="216">
        <f>SUM(C104:D104)</f>
        <v>5257657</v>
      </c>
      <c r="C104" s="216">
        <f>SUM(C99:C103)</f>
        <v>5257657</v>
      </c>
      <c r="D104" s="216">
        <f t="shared" ref="D104:T104" si="28">SUM(D99:D103)</f>
        <v>0</v>
      </c>
      <c r="E104" s="216">
        <f t="shared" si="28"/>
        <v>2332014</v>
      </c>
      <c r="F104" s="216">
        <f t="shared" si="28"/>
        <v>0</v>
      </c>
      <c r="G104" s="216">
        <f t="shared" si="28"/>
        <v>0</v>
      </c>
      <c r="H104" s="216">
        <f t="shared" si="28"/>
        <v>2925643</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216">
        <f t="shared" si="28"/>
        <v>5257657</v>
      </c>
      <c r="S104" s="85">
        <f t="shared" si="28"/>
        <v>5257657</v>
      </c>
      <c r="T104" s="85">
        <f t="shared" si="28"/>
        <v>0</v>
      </c>
      <c r="U104" s="1085"/>
    </row>
    <row r="105" spans="1:21" s="83" customFormat="1">
      <c r="A105" s="84" t="s">
        <v>1838</v>
      </c>
      <c r="B105" s="85">
        <f>SUM(C105:D105)</f>
        <v>43095977</v>
      </c>
      <c r="C105" s="85">
        <f t="shared" ref="C105:R105" si="29">SUM(C97+C104)</f>
        <v>43095977</v>
      </c>
      <c r="D105" s="85">
        <f t="shared" si="29"/>
        <v>0</v>
      </c>
      <c r="E105" s="85">
        <f t="shared" si="29"/>
        <v>18443422</v>
      </c>
      <c r="F105" s="85">
        <f t="shared" si="29"/>
        <v>10726912</v>
      </c>
      <c r="G105" s="85">
        <f t="shared" si="29"/>
        <v>11000000</v>
      </c>
      <c r="H105" s="85">
        <f t="shared" si="29"/>
        <v>2925643</v>
      </c>
      <c r="I105" s="85">
        <f t="shared" si="29"/>
        <v>0</v>
      </c>
      <c r="J105" s="85">
        <f t="shared" si="29"/>
        <v>0</v>
      </c>
      <c r="K105" s="85">
        <f t="shared" si="29"/>
        <v>0</v>
      </c>
      <c r="L105" s="85">
        <f t="shared" si="29"/>
        <v>0</v>
      </c>
      <c r="M105" s="85">
        <f t="shared" si="29"/>
        <v>0</v>
      </c>
      <c r="N105" s="85">
        <f t="shared" si="29"/>
        <v>0</v>
      </c>
      <c r="O105" s="85">
        <f t="shared" si="29"/>
        <v>0</v>
      </c>
      <c r="P105" s="85">
        <f t="shared" si="29"/>
        <v>0</v>
      </c>
      <c r="Q105" s="85">
        <f t="shared" si="29"/>
        <v>0</v>
      </c>
      <c r="R105" s="216">
        <f t="shared" si="29"/>
        <v>43095977</v>
      </c>
      <c r="S105" s="85">
        <f>S97+S104</f>
        <v>40308711</v>
      </c>
      <c r="T105" s="85">
        <f>T97+T104</f>
        <v>0</v>
      </c>
      <c r="U105" s="1085"/>
    </row>
    <row r="106" spans="1:21">
      <c r="A106" s="365" t="s">
        <v>1839</v>
      </c>
      <c r="B106" s="1093"/>
      <c r="C106" s="1093"/>
      <c r="D106" s="1093"/>
      <c r="E106" s="1180"/>
      <c r="F106" s="1180"/>
      <c r="G106" s="1180"/>
      <c r="H106" s="203" t="s">
        <v>1840</v>
      </c>
      <c r="I106" s="203"/>
      <c r="J106" s="203"/>
      <c r="K106" s="1180"/>
      <c r="L106" s="1180"/>
      <c r="M106" s="1180"/>
      <c r="N106" s="1180"/>
      <c r="O106" s="1180"/>
      <c r="P106" s="1180"/>
      <c r="Q106" s="1180"/>
      <c r="R106" s="91" t="s">
        <v>1841</v>
      </c>
      <c r="S106" s="780"/>
      <c r="T106" s="780"/>
      <c r="U106" s="204"/>
    </row>
    <row r="107" spans="1:21">
      <c r="A107" s="1093" t="s">
        <v>1842</v>
      </c>
      <c r="B107" s="1180"/>
      <c r="C107" s="1093"/>
      <c r="D107" s="1093"/>
      <c r="E107" s="1180"/>
      <c r="F107" s="1180"/>
      <c r="G107" s="1180"/>
      <c r="H107" s="1180"/>
      <c r="I107" s="93" t="s">
        <v>1843</v>
      </c>
      <c r="J107" s="93"/>
      <c r="K107" s="1180"/>
      <c r="L107" s="1180"/>
      <c r="M107" s="1180"/>
      <c r="N107" s="1180"/>
      <c r="O107" s="1180"/>
      <c r="P107" s="1180"/>
      <c r="Q107" s="1180"/>
      <c r="R107" s="91" t="s">
        <v>1844</v>
      </c>
      <c r="S107" s="85">
        <f>S105+S106</f>
        <v>40308711</v>
      </c>
      <c r="T107" s="85">
        <f>T105+T106</f>
        <v>0</v>
      </c>
      <c r="U107" s="204"/>
    </row>
    <row r="108" spans="1:21" s="106" customFormat="1">
      <c r="A108" s="93" t="s">
        <v>1845</v>
      </c>
      <c r="B108" s="1093"/>
      <c r="C108" s="1093"/>
      <c r="D108" s="1093"/>
      <c r="E108" s="1094">
        <f>Application!AO640</f>
        <v>18443422</v>
      </c>
      <c r="F108" s="1094">
        <f>Application!AO627</f>
        <v>10726912</v>
      </c>
      <c r="G108" s="1094">
        <f>Application!AO628</f>
        <v>11000000</v>
      </c>
      <c r="H108" s="1094">
        <f>Application!AO629</f>
        <v>2925643</v>
      </c>
      <c r="I108" s="1094">
        <f>Application!AO630</f>
        <v>0</v>
      </c>
      <c r="J108" s="1094">
        <f>Application!AO631</f>
        <v>0</v>
      </c>
      <c r="K108" s="1094">
        <f>Application!AO632</f>
        <v>0</v>
      </c>
      <c r="L108" s="1094">
        <f>Application!AO633</f>
        <v>0</v>
      </c>
      <c r="M108" s="1094">
        <f>Application!AO634</f>
        <v>0</v>
      </c>
      <c r="N108" s="1094">
        <f>Application!AO635</f>
        <v>0</v>
      </c>
      <c r="O108" s="1094">
        <f>Application!AO636</f>
        <v>0</v>
      </c>
      <c r="P108" s="1094">
        <f>Application!AO637</f>
        <v>0</v>
      </c>
      <c r="Q108" s="1094">
        <f>Application!AO638</f>
        <v>0</v>
      </c>
      <c r="R108" s="1180"/>
      <c r="S108" s="1180"/>
      <c r="T108" s="1180"/>
      <c r="U108" s="1095"/>
    </row>
    <row r="109" spans="1:21" ht="10.4" customHeight="1">
      <c r="A109" s="1093"/>
      <c r="B109" s="1093"/>
      <c r="C109" s="1093"/>
      <c r="D109" s="1093"/>
      <c r="E109" s="1180"/>
      <c r="F109" s="1180"/>
      <c r="G109" s="1180"/>
      <c r="H109" s="1180"/>
      <c r="I109" s="1180"/>
      <c r="J109" s="1180"/>
      <c r="K109" s="1180"/>
      <c r="L109" s="1180"/>
      <c r="M109" s="1180"/>
      <c r="N109" s="1180"/>
      <c r="O109" s="1180"/>
      <c r="P109" s="1180"/>
      <c r="Q109" s="1180"/>
      <c r="R109" s="1180"/>
      <c r="S109" s="1180"/>
      <c r="T109" s="1180"/>
      <c r="U109" s="204"/>
    </row>
    <row r="110" spans="1:21">
      <c r="A110" s="93" t="s">
        <v>1846</v>
      </c>
      <c r="B110" s="1093"/>
      <c r="C110" s="1093"/>
      <c r="D110" s="1093"/>
      <c r="E110" s="1180"/>
      <c r="F110" s="1180"/>
      <c r="G110" s="1180"/>
      <c r="H110" s="1180"/>
      <c r="I110" s="1180"/>
      <c r="J110" s="1180"/>
      <c r="K110" s="1180"/>
      <c r="L110" s="1180"/>
      <c r="M110" s="1180"/>
      <c r="N110" s="1180"/>
      <c r="O110" s="1180"/>
      <c r="P110" s="1180"/>
      <c r="Q110" s="1180"/>
      <c r="R110" s="1180"/>
      <c r="S110" s="1180"/>
      <c r="T110" s="1180"/>
      <c r="U110" s="204"/>
    </row>
    <row r="111" spans="1:21">
      <c r="A111" s="89" t="s">
        <v>1847</v>
      </c>
      <c r="B111" s="1093"/>
      <c r="C111" s="1093"/>
      <c r="D111" s="1093"/>
      <c r="E111" s="1180"/>
      <c r="F111" s="1180"/>
      <c r="G111" s="1180"/>
      <c r="H111" s="1180"/>
      <c r="I111" s="1180"/>
      <c r="J111" s="1180"/>
      <c r="K111" s="1180"/>
      <c r="L111" s="1180"/>
      <c r="M111" s="1180"/>
      <c r="N111" s="1180"/>
      <c r="O111" s="1180"/>
      <c r="P111" s="1180"/>
      <c r="Q111" s="1180"/>
      <c r="R111" s="1180"/>
      <c r="S111" s="1180"/>
      <c r="T111" s="1180"/>
      <c r="U111" s="204"/>
    </row>
    <row r="112" spans="1:21" ht="12" customHeight="1">
      <c r="A112" s="1141"/>
      <c r="B112" s="1093"/>
      <c r="C112" s="1093"/>
      <c r="D112" s="1093"/>
      <c r="E112" s="1180"/>
      <c r="F112" s="1180"/>
      <c r="G112" s="1180"/>
      <c r="H112" s="1180"/>
      <c r="I112" s="1180"/>
      <c r="J112" s="1180"/>
      <c r="K112" s="1180"/>
      <c r="L112" s="1180"/>
      <c r="M112" s="1180"/>
      <c r="N112" s="1180"/>
      <c r="O112" s="1180"/>
      <c r="P112" s="1180"/>
      <c r="Q112" s="1180"/>
      <c r="R112" s="1180"/>
      <c r="S112" s="1180"/>
      <c r="T112" s="1180"/>
      <c r="U112" s="204"/>
    </row>
    <row r="113" spans="1:21">
      <c r="A113" s="89" t="s">
        <v>1848</v>
      </c>
      <c r="B113" s="1093"/>
      <c r="C113" s="1093"/>
      <c r="D113" s="1093"/>
      <c r="E113" s="1180"/>
      <c r="F113" s="1180"/>
      <c r="G113" s="1180"/>
      <c r="H113" s="1180"/>
      <c r="I113" s="1180"/>
      <c r="J113" s="1180"/>
      <c r="K113" s="1180"/>
      <c r="L113" s="1180"/>
      <c r="M113" s="1180"/>
      <c r="N113" s="1180"/>
      <c r="O113" s="1180"/>
      <c r="P113" s="1180"/>
      <c r="Q113" s="1180"/>
      <c r="R113" s="1180"/>
      <c r="S113" s="1180"/>
      <c r="T113" s="1180"/>
      <c r="U113" s="204"/>
    </row>
    <row r="114" spans="1:21">
      <c r="A114" s="89" t="s">
        <v>1849</v>
      </c>
      <c r="B114" s="1093"/>
      <c r="C114" s="1093"/>
      <c r="D114" s="1093"/>
      <c r="E114" s="1180"/>
      <c r="F114" s="1180"/>
      <c r="G114" s="1180"/>
      <c r="H114" s="1180"/>
      <c r="I114" s="1180"/>
      <c r="J114" s="1180"/>
      <c r="K114" s="1180"/>
      <c r="L114" s="1180"/>
      <c r="M114" s="1180"/>
      <c r="N114" s="1180"/>
      <c r="O114" s="1180"/>
      <c r="P114" s="1180"/>
      <c r="Q114" s="1180"/>
      <c r="R114" s="1180"/>
      <c r="S114" s="1180"/>
      <c r="T114" s="1180"/>
      <c r="U114" s="204"/>
    </row>
    <row r="115" spans="1:21" ht="12" customHeight="1">
      <c r="A115" s="1141"/>
      <c r="B115" s="1093"/>
      <c r="C115" s="1093"/>
      <c r="D115" s="1093"/>
      <c r="E115" s="1180"/>
      <c r="F115" s="1180"/>
      <c r="G115" s="1180"/>
      <c r="H115" s="1180"/>
      <c r="I115" s="1180"/>
      <c r="J115" s="1180"/>
      <c r="K115" s="1180"/>
      <c r="L115" s="1180"/>
      <c r="M115" s="1180"/>
      <c r="N115" s="1180"/>
      <c r="O115" s="1180"/>
      <c r="P115" s="1180"/>
      <c r="Q115" s="1180"/>
      <c r="R115" s="1180"/>
      <c r="S115" s="1180"/>
      <c r="T115" s="1180"/>
      <c r="U115" s="204"/>
    </row>
    <row r="116" spans="1:21">
      <c r="A116" s="219" t="s">
        <v>1850</v>
      </c>
      <c r="B116" s="1093"/>
      <c r="C116" s="1093"/>
      <c r="D116" s="1093"/>
      <c r="E116" s="1180"/>
      <c r="F116" s="1180"/>
      <c r="G116" s="1180"/>
      <c r="H116" s="1180"/>
      <c r="I116" s="1180"/>
      <c r="J116" s="1180"/>
      <c r="K116" s="1180"/>
      <c r="L116" s="1180"/>
      <c r="M116" s="1180"/>
      <c r="N116" s="1180"/>
      <c r="O116" s="1180"/>
      <c r="P116" s="1180"/>
      <c r="Q116" s="1180"/>
      <c r="R116" s="1180"/>
      <c r="S116" s="1180"/>
      <c r="T116" s="1180"/>
      <c r="U116" s="204"/>
    </row>
    <row r="117" spans="1:21">
      <c r="A117" s="219" t="s">
        <v>1851</v>
      </c>
      <c r="B117" s="1093"/>
      <c r="C117" s="1093"/>
      <c r="D117" s="1093"/>
      <c r="E117" s="1180"/>
      <c r="F117" s="1180"/>
      <c r="G117" s="1180"/>
      <c r="H117" s="1180"/>
      <c r="I117" s="1180"/>
      <c r="J117" s="1180"/>
      <c r="K117" s="1180"/>
      <c r="L117" s="1180"/>
      <c r="M117" s="1180"/>
      <c r="N117" s="1180"/>
      <c r="O117" s="1180"/>
      <c r="P117" s="1180"/>
      <c r="Q117" s="1180"/>
      <c r="R117" s="1180"/>
      <c r="S117" s="1180"/>
      <c r="T117" s="1180"/>
      <c r="U117" s="204"/>
    </row>
    <row r="118" spans="1:21">
      <c r="A118" s="219" t="s">
        <v>1852</v>
      </c>
      <c r="B118" s="1093"/>
      <c r="C118" s="1093"/>
      <c r="D118" s="1093"/>
      <c r="E118" s="1180"/>
      <c r="F118" s="1180"/>
      <c r="G118" s="1180"/>
      <c r="H118" s="1180"/>
      <c r="I118" s="1180"/>
      <c r="J118" s="1180"/>
      <c r="K118" s="1180"/>
      <c r="L118" s="1180"/>
      <c r="M118" s="1180"/>
      <c r="N118" s="1180"/>
      <c r="O118" s="1180"/>
      <c r="P118" s="1180"/>
      <c r="Q118" s="1180"/>
      <c r="R118" s="1180"/>
      <c r="S118" s="1180"/>
      <c r="T118" s="1180"/>
      <c r="U118" s="204"/>
    </row>
    <row r="119" spans="1:21">
      <c r="A119" s="219" t="s">
        <v>1853</v>
      </c>
      <c r="B119" s="1093"/>
      <c r="C119" s="1093"/>
      <c r="D119" s="1093"/>
      <c r="E119" s="1180"/>
      <c r="F119" s="1180"/>
      <c r="G119" s="1180"/>
      <c r="H119" s="1180"/>
      <c r="I119" s="1180"/>
      <c r="J119" s="1180"/>
      <c r="K119" s="1180"/>
      <c r="L119" s="1180"/>
      <c r="M119" s="1180"/>
      <c r="N119" s="1180"/>
      <c r="O119" s="1180"/>
      <c r="P119" s="1180"/>
      <c r="Q119" s="1180"/>
      <c r="R119" s="1180"/>
      <c r="S119" s="1180"/>
      <c r="T119" s="1180"/>
      <c r="U119" s="204"/>
    </row>
    <row r="120" spans="1:21" ht="12" customHeight="1">
      <c r="A120" s="218"/>
      <c r="B120" s="1093"/>
      <c r="C120" s="1093"/>
      <c r="D120" s="1093"/>
      <c r="E120" s="1180"/>
      <c r="F120" s="1180"/>
      <c r="G120" s="1180"/>
      <c r="H120" s="1180"/>
      <c r="I120" s="1180"/>
      <c r="J120" s="1180"/>
      <c r="K120" s="1180"/>
      <c r="L120" s="1180"/>
      <c r="M120" s="1180"/>
      <c r="N120" s="1180"/>
      <c r="O120" s="1180"/>
      <c r="P120" s="1180"/>
      <c r="Q120" s="1180"/>
      <c r="R120" s="1180"/>
      <c r="S120" s="1180"/>
      <c r="T120" s="1180"/>
      <c r="U120" s="204"/>
    </row>
    <row r="121" spans="1:21" ht="15.5">
      <c r="A121" s="213" t="s">
        <v>1854</v>
      </c>
      <c r="B121" s="1093"/>
      <c r="C121" s="1093"/>
      <c r="D121" s="1093"/>
      <c r="E121" s="1180"/>
      <c r="F121" s="1180"/>
      <c r="G121" s="1180"/>
      <c r="H121" s="1180"/>
      <c r="I121" s="1180"/>
      <c r="J121" s="1180"/>
      <c r="K121" s="1180"/>
      <c r="L121" s="1180"/>
      <c r="M121" s="1180"/>
      <c r="N121" s="1180"/>
      <c r="O121" s="1180"/>
      <c r="P121" s="1180"/>
      <c r="Q121" s="1180"/>
      <c r="R121" s="1180"/>
      <c r="S121" s="1180"/>
      <c r="T121" s="1180"/>
      <c r="U121" s="204"/>
    </row>
    <row r="122" spans="1:21">
      <c r="A122" s="203" t="s">
        <v>1855</v>
      </c>
      <c r="B122" s="1180"/>
      <c r="C122" s="1180"/>
      <c r="D122" s="1797" t="s">
        <v>1856</v>
      </c>
      <c r="E122" s="1797"/>
      <c r="F122" s="1797"/>
      <c r="G122" s="1180"/>
      <c r="H122" s="1180"/>
      <c r="I122" s="1180"/>
      <c r="J122" s="1180"/>
      <c r="K122" s="1180"/>
      <c r="L122" s="1180"/>
      <c r="M122" s="1180"/>
      <c r="N122" s="1180"/>
      <c r="O122" s="1180"/>
      <c r="P122" s="1180"/>
      <c r="Q122" s="1180"/>
      <c r="R122" s="1180"/>
      <c r="S122" s="1180"/>
      <c r="T122" s="1180"/>
      <c r="U122" s="204"/>
    </row>
    <row r="123" spans="1:21">
      <c r="A123" s="1180" t="s">
        <v>1857</v>
      </c>
      <c r="B123" s="211"/>
      <c r="C123" s="1180"/>
      <c r="D123" s="1790" t="s">
        <v>1858</v>
      </c>
      <c r="E123" s="1498"/>
      <c r="F123" s="1498"/>
      <c r="G123" s="1498"/>
      <c r="H123" s="1498"/>
      <c r="I123" s="1498"/>
      <c r="J123" s="1498"/>
      <c r="K123" s="1498"/>
      <c r="L123" s="1498"/>
      <c r="M123" s="1498"/>
      <c r="N123" s="1498"/>
      <c r="O123" s="1498"/>
      <c r="P123" s="1498"/>
      <c r="Q123" s="1498"/>
      <c r="R123" s="1498"/>
      <c r="S123" s="1498"/>
      <c r="T123" s="1180"/>
      <c r="U123" s="204"/>
    </row>
    <row r="124" spans="1:21" ht="12.5">
      <c r="A124" s="1126" t="s">
        <v>1859</v>
      </c>
      <c r="B124" s="211"/>
      <c r="C124" s="1126"/>
      <c r="D124" s="1498"/>
      <c r="E124" s="1498"/>
      <c r="F124" s="1498"/>
      <c r="G124" s="1498"/>
      <c r="H124" s="1498"/>
      <c r="I124" s="1498"/>
      <c r="J124" s="1498"/>
      <c r="K124" s="1498"/>
      <c r="L124" s="1498"/>
      <c r="M124" s="1498"/>
      <c r="N124" s="1498"/>
      <c r="O124" s="1498"/>
      <c r="P124" s="1498"/>
      <c r="Q124" s="1498"/>
      <c r="R124" s="1498"/>
      <c r="S124" s="1498"/>
      <c r="T124" s="1180"/>
      <c r="U124" s="204"/>
    </row>
    <row r="125" spans="1:21" ht="12.5">
      <c r="A125" s="1126" t="s">
        <v>1860</v>
      </c>
      <c r="B125" s="211"/>
      <c r="C125" s="1126"/>
      <c r="D125" s="1498"/>
      <c r="E125" s="1498"/>
      <c r="F125" s="1498"/>
      <c r="G125" s="1498"/>
      <c r="H125" s="1498"/>
      <c r="I125" s="1498"/>
      <c r="J125" s="1498"/>
      <c r="K125" s="1498"/>
      <c r="L125" s="1498"/>
      <c r="M125" s="1498"/>
      <c r="N125" s="1498"/>
      <c r="O125" s="1498"/>
      <c r="P125" s="1498"/>
      <c r="Q125" s="1498"/>
      <c r="R125" s="1498"/>
      <c r="S125" s="1498"/>
      <c r="T125" s="1180"/>
      <c r="U125" s="204"/>
    </row>
    <row r="126" spans="1:21" ht="12.5">
      <c r="A126" s="1126" t="s">
        <v>1861</v>
      </c>
      <c r="B126" s="211"/>
      <c r="C126" s="1126"/>
      <c r="D126" s="69"/>
      <c r="E126" s="69"/>
      <c r="F126" s="69"/>
      <c r="G126" s="69"/>
      <c r="H126" s="69"/>
      <c r="I126" s="69"/>
      <c r="J126" s="69"/>
      <c r="K126" s="69"/>
      <c r="L126" s="69"/>
      <c r="M126" s="69"/>
      <c r="N126" s="69"/>
      <c r="O126" s="1126"/>
      <c r="P126" s="1126"/>
      <c r="Q126" s="1126"/>
      <c r="R126" s="1126"/>
      <c r="S126" s="1126"/>
      <c r="T126" s="1180"/>
      <c r="U126" s="204"/>
    </row>
    <row r="127" spans="1:21" ht="12.5">
      <c r="A127" s="1126" t="s">
        <v>1862</v>
      </c>
      <c r="B127" s="211"/>
      <c r="C127" s="1126"/>
      <c r="D127" s="69"/>
      <c r="E127" s="69"/>
      <c r="F127" s="69"/>
      <c r="G127" s="69"/>
      <c r="H127" s="69"/>
      <c r="I127" s="69"/>
      <c r="J127" s="69"/>
      <c r="K127" s="69"/>
      <c r="L127" s="69"/>
      <c r="M127" s="69"/>
      <c r="N127" s="69"/>
      <c r="O127" s="1126"/>
      <c r="P127" s="1126"/>
      <c r="Q127" s="1126"/>
      <c r="R127" s="1126"/>
      <c r="S127" s="1126"/>
      <c r="T127" s="1180"/>
      <c r="U127" s="204"/>
    </row>
    <row r="128" spans="1:21" ht="12.5">
      <c r="A128" s="1126" t="s">
        <v>1863</v>
      </c>
      <c r="B128" s="211"/>
      <c r="C128" s="1126"/>
      <c r="D128" s="1792"/>
      <c r="E128" s="1792"/>
      <c r="F128" s="1792"/>
      <c r="G128" s="1792"/>
      <c r="H128" s="1792"/>
      <c r="I128" s="1126"/>
      <c r="J128" s="1789"/>
      <c r="K128" s="1789"/>
      <c r="L128" s="1126"/>
      <c r="M128" s="1126"/>
      <c r="N128" s="1126"/>
      <c r="O128" s="1126"/>
      <c r="P128" s="1126"/>
      <c r="Q128" s="1126"/>
      <c r="R128" s="1126"/>
      <c r="S128" s="1126"/>
      <c r="T128" s="1180"/>
      <c r="U128" s="204"/>
    </row>
    <row r="129" spans="1:21" ht="12.5">
      <c r="A129" s="1126" t="s">
        <v>1055</v>
      </c>
      <c r="B129" s="211"/>
      <c r="C129" s="1126"/>
      <c r="D129" s="1796" t="s">
        <v>1864</v>
      </c>
      <c r="E129" s="1796"/>
      <c r="F129" s="1796"/>
      <c r="G129" s="1796"/>
      <c r="H129" s="1796"/>
      <c r="I129" s="1126"/>
      <c r="J129" s="1126" t="s">
        <v>1865</v>
      </c>
      <c r="K129" s="1126"/>
      <c r="L129" s="1126"/>
      <c r="M129" s="1126"/>
      <c r="N129" s="1126"/>
      <c r="O129" s="1126"/>
      <c r="P129" s="1126"/>
      <c r="Q129" s="1126"/>
      <c r="R129" s="1126"/>
      <c r="S129" s="1126"/>
      <c r="T129" s="1180"/>
      <c r="U129" s="204"/>
    </row>
    <row r="130" spans="1:21" ht="12" customHeight="1">
      <c r="A130" s="1126"/>
      <c r="B130" s="210"/>
      <c r="C130" s="1126"/>
      <c r="D130" s="1126"/>
      <c r="E130" s="1126"/>
      <c r="F130" s="1126"/>
      <c r="G130" s="1126"/>
      <c r="H130" s="1126"/>
      <c r="I130" s="1126"/>
      <c r="J130" s="1126"/>
      <c r="K130" s="1126"/>
      <c r="L130" s="1126"/>
      <c r="M130" s="1126"/>
      <c r="N130" s="1126"/>
      <c r="O130" s="1126"/>
      <c r="P130" s="1126"/>
      <c r="Q130" s="1126"/>
      <c r="R130" s="1126"/>
      <c r="S130" s="1126"/>
      <c r="T130" s="1180"/>
      <c r="U130" s="204"/>
    </row>
    <row r="131" spans="1:21" ht="13">
      <c r="A131" s="1118" t="s">
        <v>1866</v>
      </c>
      <c r="B131" s="212">
        <f>SUM(B123:B129)</f>
        <v>0</v>
      </c>
      <c r="C131" s="1126"/>
      <c r="D131" s="1476"/>
      <c r="E131" s="1476"/>
      <c r="F131" s="1476"/>
      <c r="G131" s="1476"/>
      <c r="H131" s="1476"/>
      <c r="I131" s="1126"/>
      <c r="J131" s="1476"/>
      <c r="K131" s="1476"/>
      <c r="L131" s="1476"/>
      <c r="M131" s="1476"/>
      <c r="N131" s="1126"/>
      <c r="O131" s="1126"/>
      <c r="P131" s="1126"/>
      <c r="Q131" s="1126"/>
      <c r="R131" s="1126"/>
      <c r="S131" s="1126"/>
      <c r="T131" s="1180"/>
      <c r="U131" s="204"/>
    </row>
    <row r="132" spans="1:21" ht="12" customHeight="1">
      <c r="A132" s="1096"/>
      <c r="B132" s="1126"/>
      <c r="C132" s="1126"/>
      <c r="D132" s="1289" t="s">
        <v>1867</v>
      </c>
      <c r="E132" s="1289"/>
      <c r="F132" s="1289"/>
      <c r="G132" s="1289"/>
      <c r="H132" s="1289"/>
      <c r="I132" s="1126"/>
      <c r="J132" s="1289" t="s">
        <v>1868</v>
      </c>
      <c r="K132" s="1289"/>
      <c r="L132" s="1289"/>
      <c r="M132" s="1289"/>
      <c r="N132" s="1126"/>
      <c r="O132" s="1126"/>
      <c r="P132" s="1126"/>
      <c r="Q132" s="1126"/>
      <c r="R132" s="1126"/>
      <c r="S132" s="1126"/>
      <c r="T132" s="1180"/>
      <c r="U132" s="204"/>
    </row>
    <row r="133" spans="1:21" ht="12" customHeight="1">
      <c r="A133" s="1096"/>
      <c r="B133" s="1126"/>
      <c r="C133" s="1126"/>
      <c r="D133" s="1126"/>
      <c r="E133" s="1126"/>
      <c r="F133" s="1126"/>
      <c r="G133" s="1126"/>
      <c r="H133" s="1126"/>
      <c r="I133" s="1126"/>
      <c r="J133" s="1126"/>
      <c r="K133" s="1126"/>
      <c r="L133" s="1126"/>
      <c r="M133" s="1126"/>
      <c r="N133" s="1126"/>
      <c r="O133" s="1126"/>
      <c r="P133" s="1126"/>
      <c r="Q133" s="1126"/>
      <c r="R133" s="1126"/>
      <c r="S133" s="1126"/>
      <c r="T133" s="1180"/>
      <c r="U133" s="204"/>
    </row>
    <row r="134" spans="1:21" ht="12.5">
      <c r="A134" s="1125" t="s">
        <v>1869</v>
      </c>
      <c r="B134" s="1126"/>
      <c r="C134" s="1126"/>
      <c r="D134" s="1126"/>
      <c r="E134" s="1126"/>
      <c r="F134" s="1126"/>
      <c r="G134" s="1126"/>
      <c r="H134" s="1126"/>
      <c r="I134" s="1126"/>
      <c r="J134" s="1126"/>
      <c r="K134" s="1126"/>
      <c r="L134" s="1126"/>
      <c r="M134" s="1126"/>
      <c r="N134" s="1126"/>
      <c r="O134" s="1126"/>
      <c r="P134" s="1126"/>
      <c r="Q134" s="1126"/>
      <c r="R134" s="1126"/>
      <c r="S134" s="1126"/>
      <c r="T134" s="1180"/>
      <c r="U134" s="204"/>
    </row>
    <row r="135" spans="1:21" ht="13">
      <c r="A135" s="1141" t="s">
        <v>1870</v>
      </c>
      <c r="B135" s="1126"/>
      <c r="C135" s="1126"/>
      <c r="D135" s="1126"/>
      <c r="E135" s="1126"/>
      <c r="F135" s="1126"/>
      <c r="G135" s="1126"/>
      <c r="H135" s="1126"/>
      <c r="I135" s="1126"/>
      <c r="J135" s="1126"/>
      <c r="K135" s="1126"/>
      <c r="L135" s="1126"/>
      <c r="M135" s="1126"/>
      <c r="N135" s="1097"/>
      <c r="O135" s="1126"/>
      <c r="P135" s="1126"/>
      <c r="Q135" s="1126"/>
      <c r="R135" s="1126"/>
      <c r="S135" s="1126"/>
      <c r="T135" s="1180"/>
      <c r="U135" s="204"/>
    </row>
    <row r="136" spans="1:21" ht="12" customHeight="1">
      <c r="A136" s="1096"/>
      <c r="B136" s="1126"/>
      <c r="C136" s="1126"/>
      <c r="D136" s="1126"/>
      <c r="E136" s="1126"/>
      <c r="F136" s="1126"/>
      <c r="G136" s="1126"/>
      <c r="H136" s="1126"/>
      <c r="I136" s="1126"/>
      <c r="J136" s="1126"/>
      <c r="K136" s="1126"/>
      <c r="L136" s="1126"/>
      <c r="M136" s="1126"/>
      <c r="N136" s="1126"/>
      <c r="O136" s="1126"/>
      <c r="P136" s="1126"/>
      <c r="Q136" s="1126"/>
      <c r="R136" s="1126"/>
      <c r="S136" s="1126"/>
      <c r="T136" s="208"/>
      <c r="U136" s="209"/>
    </row>
    <row r="137" spans="1:21" ht="12.5">
      <c r="A137" s="1096"/>
      <c r="B137" s="1126"/>
      <c r="C137" s="1126"/>
      <c r="D137" s="1126"/>
      <c r="E137" s="1126"/>
      <c r="F137" s="1126"/>
      <c r="G137" s="1126"/>
      <c r="H137" s="1126"/>
      <c r="I137" s="1126"/>
      <c r="J137" s="1126"/>
      <c r="K137" s="1126"/>
      <c r="L137" s="1126"/>
      <c r="M137" s="1126"/>
      <c r="N137" s="1126"/>
      <c r="O137" s="1126"/>
      <c r="P137" s="1126"/>
      <c r="Q137" s="1126"/>
      <c r="R137" s="1126"/>
      <c r="S137" s="1126"/>
      <c r="T137" s="208"/>
      <c r="U137" s="209"/>
    </row>
    <row r="138" spans="1:21" ht="12" customHeight="1">
      <c r="A138" s="1791"/>
      <c r="B138" s="1792"/>
      <c r="C138" s="1792"/>
      <c r="D138" s="206"/>
      <c r="E138" s="1789"/>
      <c r="F138" s="1789"/>
      <c r="G138" s="1126"/>
      <c r="H138" s="1126"/>
      <c r="I138" s="1126"/>
      <c r="J138" s="1126"/>
      <c r="K138" s="1126"/>
      <c r="L138" s="1126"/>
      <c r="M138" s="1126"/>
      <c r="N138" s="1126"/>
      <c r="O138" s="1126"/>
      <c r="P138" s="1126"/>
      <c r="Q138" s="1126"/>
      <c r="R138" s="1126"/>
      <c r="S138" s="1126"/>
      <c r="T138" s="208"/>
      <c r="U138" s="209"/>
    </row>
    <row r="139" spans="1:21" ht="13">
      <c r="A139" s="1788" t="s">
        <v>1871</v>
      </c>
      <c r="B139" s="1788"/>
      <c r="C139" s="1788"/>
      <c r="D139" s="206"/>
      <c r="E139" s="1126" t="s">
        <v>1865</v>
      </c>
      <c r="F139" s="1126"/>
      <c r="G139" s="1126"/>
      <c r="H139" s="1126"/>
      <c r="I139" s="1126"/>
      <c r="J139" s="1126"/>
      <c r="K139" s="1126"/>
      <c r="L139" s="1126"/>
      <c r="M139" s="1126"/>
      <c r="N139" s="1126"/>
      <c r="O139" s="1126"/>
      <c r="P139" s="1126"/>
      <c r="Q139" s="1126"/>
      <c r="R139" s="1126"/>
      <c r="S139" s="1126"/>
      <c r="T139" s="208"/>
      <c r="U139" s="209"/>
    </row>
    <row r="140" spans="1:21" ht="13">
      <c r="A140" s="1096"/>
      <c r="B140" s="1126"/>
      <c r="C140" s="1126"/>
      <c r="D140" s="206"/>
      <c r="E140" s="1126"/>
      <c r="F140" s="1126"/>
      <c r="G140" s="1126"/>
      <c r="H140" s="1126"/>
      <c r="I140" s="1126"/>
      <c r="J140" s="1126"/>
      <c r="K140" s="1126"/>
      <c r="L140" s="1126"/>
      <c r="M140" s="1126"/>
      <c r="N140" s="1126"/>
      <c r="O140" s="1126"/>
      <c r="P140" s="1126"/>
      <c r="Q140" s="1126"/>
      <c r="R140" s="1126"/>
      <c r="S140" s="1126"/>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9" workbookViewId="0">
      <selection activeCell="G59" sqref="G59"/>
    </sheetView>
  </sheetViews>
  <sheetFormatPr defaultColWidth="0" defaultRowHeight="11.5" zeroHeight="1"/>
  <cols>
    <col min="1" max="1" width="32.7265625" style="267" customWidth="1"/>
    <col min="2" max="3" width="12.1796875" style="263" customWidth="1"/>
    <col min="4" max="6" width="12.81640625" style="263" customWidth="1"/>
    <col min="7" max="9" width="12.1796875" style="263" customWidth="1"/>
    <col min="10" max="10" width="12.1796875" style="264" customWidth="1"/>
    <col min="11" max="11" width="8.81640625" style="265" hidden="1" customWidth="1"/>
    <col min="12" max="21" width="8.81640625" style="263" hidden="1" customWidth="1"/>
    <col min="22" max="23" width="0" style="263" hidden="1"/>
    <col min="24" max="256" width="8.81640625" style="263" hidden="1"/>
    <col min="257" max="257" width="32.7265625" style="263" hidden="1" customWidth="1"/>
    <col min="258" max="259" width="12.1796875" style="263" hidden="1" customWidth="1"/>
    <col min="260" max="260" width="12.81640625" style="263" hidden="1" customWidth="1"/>
    <col min="261" max="266" width="12.1796875" style="263" hidden="1" customWidth="1"/>
    <col min="267" max="277" width="8.81640625" style="263" hidden="1" customWidth="1"/>
    <col min="278" max="512" width="8.81640625" style="263" hidden="1"/>
    <col min="513" max="513" width="32.7265625" style="263" hidden="1" customWidth="1"/>
    <col min="514" max="515" width="12.1796875" style="263" hidden="1" customWidth="1"/>
    <col min="516" max="516" width="12.81640625" style="263" hidden="1" customWidth="1"/>
    <col min="517" max="522" width="12.1796875" style="263" hidden="1" customWidth="1"/>
    <col min="523" max="533" width="8.81640625" style="263" hidden="1" customWidth="1"/>
    <col min="534" max="768" width="8.81640625" style="263" hidden="1"/>
    <col min="769" max="769" width="32.7265625" style="263" hidden="1" customWidth="1"/>
    <col min="770" max="771" width="12.1796875" style="263" hidden="1" customWidth="1"/>
    <col min="772" max="772" width="12.81640625" style="263" hidden="1" customWidth="1"/>
    <col min="773" max="778" width="12.1796875" style="263" hidden="1" customWidth="1"/>
    <col min="779" max="789" width="8.81640625" style="263" hidden="1" customWidth="1"/>
    <col min="790" max="1024" width="8.81640625" style="263" hidden="1"/>
    <col min="1025" max="1025" width="32.7265625" style="263" hidden="1" customWidth="1"/>
    <col min="1026" max="1027" width="12.1796875" style="263" hidden="1" customWidth="1"/>
    <col min="1028" max="1028" width="12.81640625" style="263" hidden="1" customWidth="1"/>
    <col min="1029" max="1034" width="12.1796875" style="263" hidden="1" customWidth="1"/>
    <col min="1035" max="1045" width="8.81640625" style="263" hidden="1" customWidth="1"/>
    <col min="1046" max="1280" width="8.81640625" style="263" hidden="1"/>
    <col min="1281" max="1281" width="32.7265625" style="263" hidden="1" customWidth="1"/>
    <col min="1282" max="1283" width="12.1796875" style="263" hidden="1" customWidth="1"/>
    <col min="1284" max="1284" width="12.81640625" style="263" hidden="1" customWidth="1"/>
    <col min="1285" max="1290" width="12.1796875" style="263" hidden="1" customWidth="1"/>
    <col min="1291" max="1301" width="8.81640625" style="263" hidden="1" customWidth="1"/>
    <col min="1302" max="1536" width="8.81640625" style="263" hidden="1"/>
    <col min="1537" max="1537" width="32.7265625" style="263" hidden="1" customWidth="1"/>
    <col min="1538" max="1539" width="12.1796875" style="263" hidden="1" customWidth="1"/>
    <col min="1540" max="1540" width="12.81640625" style="263" hidden="1" customWidth="1"/>
    <col min="1541" max="1546" width="12.1796875" style="263" hidden="1" customWidth="1"/>
    <col min="1547" max="1557" width="8.81640625" style="263" hidden="1" customWidth="1"/>
    <col min="1558" max="1792" width="8.81640625" style="263" hidden="1"/>
    <col min="1793" max="1793" width="32.7265625" style="263" hidden="1" customWidth="1"/>
    <col min="1794" max="1795" width="12.1796875" style="263" hidden="1" customWidth="1"/>
    <col min="1796" max="1796" width="12.81640625" style="263" hidden="1" customWidth="1"/>
    <col min="1797" max="1802" width="12.1796875" style="263" hidden="1" customWidth="1"/>
    <col min="1803" max="1813" width="8.81640625" style="263" hidden="1" customWidth="1"/>
    <col min="1814" max="2048" width="8.81640625" style="263" hidden="1"/>
    <col min="2049" max="2049" width="32.7265625" style="263" hidden="1" customWidth="1"/>
    <col min="2050" max="2051" width="12.1796875" style="263" hidden="1" customWidth="1"/>
    <col min="2052" max="2052" width="12.81640625" style="263" hidden="1" customWidth="1"/>
    <col min="2053" max="2058" width="12.1796875" style="263" hidden="1" customWidth="1"/>
    <col min="2059" max="2069" width="8.81640625" style="263" hidden="1" customWidth="1"/>
    <col min="2070" max="2304" width="8.81640625" style="263" hidden="1"/>
    <col min="2305" max="2305" width="32.7265625" style="263" hidden="1" customWidth="1"/>
    <col min="2306" max="2307" width="12.1796875" style="263" hidden="1" customWidth="1"/>
    <col min="2308" max="2308" width="12.81640625" style="263" hidden="1" customWidth="1"/>
    <col min="2309" max="2314" width="12.1796875" style="263" hidden="1" customWidth="1"/>
    <col min="2315" max="2325" width="8.81640625" style="263" hidden="1" customWidth="1"/>
    <col min="2326" max="2560" width="8.81640625" style="263" hidden="1"/>
    <col min="2561" max="2561" width="32.7265625" style="263" hidden="1" customWidth="1"/>
    <col min="2562" max="2563" width="12.1796875" style="263" hidden="1" customWidth="1"/>
    <col min="2564" max="2564" width="12.81640625" style="263" hidden="1" customWidth="1"/>
    <col min="2565" max="2570" width="12.1796875" style="263" hidden="1" customWidth="1"/>
    <col min="2571" max="2581" width="8.81640625" style="263" hidden="1" customWidth="1"/>
    <col min="2582" max="2816" width="8.81640625" style="263" hidden="1"/>
    <col min="2817" max="2817" width="32.7265625" style="263" hidden="1" customWidth="1"/>
    <col min="2818" max="2819" width="12.1796875" style="263" hidden="1" customWidth="1"/>
    <col min="2820" max="2820" width="12.81640625" style="263" hidden="1" customWidth="1"/>
    <col min="2821" max="2826" width="12.1796875" style="263" hidden="1" customWidth="1"/>
    <col min="2827" max="2837" width="8.81640625" style="263" hidden="1" customWidth="1"/>
    <col min="2838" max="3072" width="8.81640625" style="263" hidden="1"/>
    <col min="3073" max="3073" width="32.7265625" style="263" hidden="1" customWidth="1"/>
    <col min="3074" max="3075" width="12.1796875" style="263" hidden="1" customWidth="1"/>
    <col min="3076" max="3076" width="12.81640625" style="263" hidden="1" customWidth="1"/>
    <col min="3077" max="3082" width="12.1796875" style="263" hidden="1" customWidth="1"/>
    <col min="3083" max="3093" width="8.81640625" style="263" hidden="1" customWidth="1"/>
    <col min="3094" max="3328" width="8.81640625" style="263" hidden="1"/>
    <col min="3329" max="3329" width="32.7265625" style="263" hidden="1" customWidth="1"/>
    <col min="3330" max="3331" width="12.1796875" style="263" hidden="1" customWidth="1"/>
    <col min="3332" max="3332" width="12.81640625" style="263" hidden="1" customWidth="1"/>
    <col min="3333" max="3338" width="12.1796875" style="263" hidden="1" customWidth="1"/>
    <col min="3339" max="3349" width="8.81640625" style="263" hidden="1" customWidth="1"/>
    <col min="3350" max="3584" width="8.81640625" style="263" hidden="1"/>
    <col min="3585" max="3585" width="32.7265625" style="263" hidden="1" customWidth="1"/>
    <col min="3586" max="3587" width="12.1796875" style="263" hidden="1" customWidth="1"/>
    <col min="3588" max="3588" width="12.81640625" style="263" hidden="1" customWidth="1"/>
    <col min="3589" max="3594" width="12.1796875" style="263" hidden="1" customWidth="1"/>
    <col min="3595" max="3605" width="8.81640625" style="263" hidden="1" customWidth="1"/>
    <col min="3606" max="3840" width="8.81640625" style="263" hidden="1"/>
    <col min="3841" max="3841" width="32.7265625" style="263" hidden="1" customWidth="1"/>
    <col min="3842" max="3843" width="12.1796875" style="263" hidden="1" customWidth="1"/>
    <col min="3844" max="3844" width="12.81640625" style="263" hidden="1" customWidth="1"/>
    <col min="3845" max="3850" width="12.1796875" style="263" hidden="1" customWidth="1"/>
    <col min="3851" max="3861" width="8.81640625" style="263" hidden="1" customWidth="1"/>
    <col min="3862" max="4096" width="8.81640625" style="263" hidden="1"/>
    <col min="4097" max="4097" width="32.7265625" style="263" hidden="1" customWidth="1"/>
    <col min="4098" max="4099" width="12.1796875" style="263" hidden="1" customWidth="1"/>
    <col min="4100" max="4100" width="12.81640625" style="263" hidden="1" customWidth="1"/>
    <col min="4101" max="4106" width="12.1796875" style="263" hidden="1" customWidth="1"/>
    <col min="4107" max="4117" width="8.81640625" style="263" hidden="1" customWidth="1"/>
    <col min="4118" max="4352" width="8.81640625" style="263" hidden="1"/>
    <col min="4353" max="4353" width="32.7265625" style="263" hidden="1" customWidth="1"/>
    <col min="4354" max="4355" width="12.1796875" style="263" hidden="1" customWidth="1"/>
    <col min="4356" max="4356" width="12.81640625" style="263" hidden="1" customWidth="1"/>
    <col min="4357" max="4362" width="12.1796875" style="263" hidden="1" customWidth="1"/>
    <col min="4363" max="4373" width="8.81640625" style="263" hidden="1" customWidth="1"/>
    <col min="4374" max="4608" width="8.81640625" style="263" hidden="1"/>
    <col min="4609" max="4609" width="32.7265625" style="263" hidden="1" customWidth="1"/>
    <col min="4610" max="4611" width="12.1796875" style="263" hidden="1" customWidth="1"/>
    <col min="4612" max="4612" width="12.81640625" style="263" hidden="1" customWidth="1"/>
    <col min="4613" max="4618" width="12.1796875" style="263" hidden="1" customWidth="1"/>
    <col min="4619" max="4629" width="8.81640625" style="263" hidden="1" customWidth="1"/>
    <col min="4630" max="4864" width="8.81640625" style="263" hidden="1"/>
    <col min="4865" max="4865" width="32.7265625" style="263" hidden="1" customWidth="1"/>
    <col min="4866" max="4867" width="12.1796875" style="263" hidden="1" customWidth="1"/>
    <col min="4868" max="4868" width="12.81640625" style="263" hidden="1" customWidth="1"/>
    <col min="4869" max="4874" width="12.1796875" style="263" hidden="1" customWidth="1"/>
    <col min="4875" max="4885" width="8.81640625" style="263" hidden="1" customWidth="1"/>
    <col min="4886" max="5120" width="8.81640625" style="263" hidden="1"/>
    <col min="5121" max="5121" width="32.7265625" style="263" hidden="1" customWidth="1"/>
    <col min="5122" max="5123" width="12.1796875" style="263" hidden="1" customWidth="1"/>
    <col min="5124" max="5124" width="12.81640625" style="263" hidden="1" customWidth="1"/>
    <col min="5125" max="5130" width="12.1796875" style="263" hidden="1" customWidth="1"/>
    <col min="5131" max="5141" width="8.81640625" style="263" hidden="1" customWidth="1"/>
    <col min="5142" max="5376" width="8.81640625" style="263" hidden="1"/>
    <col min="5377" max="5377" width="32.7265625" style="263" hidden="1" customWidth="1"/>
    <col min="5378" max="5379" width="12.1796875" style="263" hidden="1" customWidth="1"/>
    <col min="5380" max="5380" width="12.81640625" style="263" hidden="1" customWidth="1"/>
    <col min="5381" max="5386" width="12.1796875" style="263" hidden="1" customWidth="1"/>
    <col min="5387" max="5397" width="8.81640625" style="263" hidden="1" customWidth="1"/>
    <col min="5398" max="5632" width="8.81640625" style="263" hidden="1"/>
    <col min="5633" max="5633" width="32.7265625" style="263" hidden="1" customWidth="1"/>
    <col min="5634" max="5635" width="12.1796875" style="263" hidden="1" customWidth="1"/>
    <col min="5636" max="5636" width="12.81640625" style="263" hidden="1" customWidth="1"/>
    <col min="5637" max="5642" width="12.1796875" style="263" hidden="1" customWidth="1"/>
    <col min="5643" max="5653" width="8.81640625" style="263" hidden="1" customWidth="1"/>
    <col min="5654" max="5888" width="8.81640625" style="263" hidden="1"/>
    <col min="5889" max="5889" width="32.7265625" style="263" hidden="1" customWidth="1"/>
    <col min="5890" max="5891" width="12.1796875" style="263" hidden="1" customWidth="1"/>
    <col min="5892" max="5892" width="12.81640625" style="263" hidden="1" customWidth="1"/>
    <col min="5893" max="5898" width="12.1796875" style="263" hidden="1" customWidth="1"/>
    <col min="5899" max="5909" width="8.81640625" style="263" hidden="1" customWidth="1"/>
    <col min="5910" max="6144" width="8.81640625" style="263" hidden="1"/>
    <col min="6145" max="6145" width="32.7265625" style="263" hidden="1" customWidth="1"/>
    <col min="6146" max="6147" width="12.1796875" style="263" hidden="1" customWidth="1"/>
    <col min="6148" max="6148" width="12.81640625" style="263" hidden="1" customWidth="1"/>
    <col min="6149" max="6154" width="12.1796875" style="263" hidden="1" customWidth="1"/>
    <col min="6155" max="6165" width="8.81640625" style="263" hidden="1" customWidth="1"/>
    <col min="6166" max="6400" width="8.81640625" style="263" hidden="1"/>
    <col min="6401" max="6401" width="32.7265625" style="263" hidden="1" customWidth="1"/>
    <col min="6402" max="6403" width="12.1796875" style="263" hidden="1" customWidth="1"/>
    <col min="6404" max="6404" width="12.81640625" style="263" hidden="1" customWidth="1"/>
    <col min="6405" max="6410" width="12.1796875" style="263" hidden="1" customWidth="1"/>
    <col min="6411" max="6421" width="8.81640625" style="263" hidden="1" customWidth="1"/>
    <col min="6422" max="6656" width="8.81640625" style="263" hidden="1"/>
    <col min="6657" max="6657" width="32.7265625" style="263" hidden="1" customWidth="1"/>
    <col min="6658" max="6659" width="12.1796875" style="263" hidden="1" customWidth="1"/>
    <col min="6660" max="6660" width="12.81640625" style="263" hidden="1" customWidth="1"/>
    <col min="6661" max="6666" width="12.1796875" style="263" hidden="1" customWidth="1"/>
    <col min="6667" max="6677" width="8.81640625" style="263" hidden="1" customWidth="1"/>
    <col min="6678" max="6912" width="8.81640625" style="263" hidden="1"/>
    <col min="6913" max="6913" width="32.7265625" style="263" hidden="1" customWidth="1"/>
    <col min="6914" max="6915" width="12.1796875" style="263" hidden="1" customWidth="1"/>
    <col min="6916" max="6916" width="12.81640625" style="263" hidden="1" customWidth="1"/>
    <col min="6917" max="6922" width="12.1796875" style="263" hidden="1" customWidth="1"/>
    <col min="6923" max="6933" width="8.81640625" style="263" hidden="1" customWidth="1"/>
    <col min="6934" max="7168" width="8.81640625" style="263" hidden="1"/>
    <col min="7169" max="7169" width="32.7265625" style="263" hidden="1" customWidth="1"/>
    <col min="7170" max="7171" width="12.1796875" style="263" hidden="1" customWidth="1"/>
    <col min="7172" max="7172" width="12.81640625" style="263" hidden="1" customWidth="1"/>
    <col min="7173" max="7178" width="12.1796875" style="263" hidden="1" customWidth="1"/>
    <col min="7179" max="7189" width="8.81640625" style="263" hidden="1" customWidth="1"/>
    <col min="7190" max="7424" width="8.81640625" style="263" hidden="1"/>
    <col min="7425" max="7425" width="32.7265625" style="263" hidden="1" customWidth="1"/>
    <col min="7426" max="7427" width="12.1796875" style="263" hidden="1" customWidth="1"/>
    <col min="7428" max="7428" width="12.81640625" style="263" hidden="1" customWidth="1"/>
    <col min="7429" max="7434" width="12.1796875" style="263" hidden="1" customWidth="1"/>
    <col min="7435" max="7445" width="8.81640625" style="263" hidden="1" customWidth="1"/>
    <col min="7446" max="7680" width="8.81640625" style="263" hidden="1"/>
    <col min="7681" max="7681" width="32.7265625" style="263" hidden="1" customWidth="1"/>
    <col min="7682" max="7683" width="12.1796875" style="263" hidden="1" customWidth="1"/>
    <col min="7684" max="7684" width="12.81640625" style="263" hidden="1" customWidth="1"/>
    <col min="7685" max="7690" width="12.1796875" style="263" hidden="1" customWidth="1"/>
    <col min="7691" max="7701" width="8.81640625" style="263" hidden="1" customWidth="1"/>
    <col min="7702" max="7936" width="8.81640625" style="263" hidden="1"/>
    <col min="7937" max="7937" width="32.7265625" style="263" hidden="1" customWidth="1"/>
    <col min="7938" max="7939" width="12.1796875" style="263" hidden="1" customWidth="1"/>
    <col min="7940" max="7940" width="12.81640625" style="263" hidden="1" customWidth="1"/>
    <col min="7941" max="7946" width="12.1796875" style="263" hidden="1" customWidth="1"/>
    <col min="7947" max="7957" width="8.81640625" style="263" hidden="1" customWidth="1"/>
    <col min="7958" max="8192" width="8.81640625" style="263" hidden="1"/>
    <col min="8193" max="8193" width="32.7265625" style="263" hidden="1" customWidth="1"/>
    <col min="8194" max="8195" width="12.1796875" style="263" hidden="1" customWidth="1"/>
    <col min="8196" max="8196" width="12.81640625" style="263" hidden="1" customWidth="1"/>
    <col min="8197" max="8202" width="12.1796875" style="263" hidden="1" customWidth="1"/>
    <col min="8203" max="8213" width="8.81640625" style="263" hidden="1" customWidth="1"/>
    <col min="8214" max="8448" width="8.81640625" style="263" hidden="1"/>
    <col min="8449" max="8449" width="32.7265625" style="263" hidden="1" customWidth="1"/>
    <col min="8450" max="8451" width="12.1796875" style="263" hidden="1" customWidth="1"/>
    <col min="8452" max="8452" width="12.81640625" style="263" hidden="1" customWidth="1"/>
    <col min="8453" max="8458" width="12.1796875" style="263" hidden="1" customWidth="1"/>
    <col min="8459" max="8469" width="8.81640625" style="263" hidden="1" customWidth="1"/>
    <col min="8470" max="8704" width="8.81640625" style="263" hidden="1"/>
    <col min="8705" max="8705" width="32.7265625" style="263" hidden="1" customWidth="1"/>
    <col min="8706" max="8707" width="12.1796875" style="263" hidden="1" customWidth="1"/>
    <col min="8708" max="8708" width="12.81640625" style="263" hidden="1" customWidth="1"/>
    <col min="8709" max="8714" width="12.1796875" style="263" hidden="1" customWidth="1"/>
    <col min="8715" max="8725" width="8.81640625" style="263" hidden="1" customWidth="1"/>
    <col min="8726" max="8960" width="8.81640625" style="263" hidden="1"/>
    <col min="8961" max="8961" width="32.7265625" style="263" hidden="1" customWidth="1"/>
    <col min="8962" max="8963" width="12.1796875" style="263" hidden="1" customWidth="1"/>
    <col min="8964" max="8964" width="12.81640625" style="263" hidden="1" customWidth="1"/>
    <col min="8965" max="8970" width="12.1796875" style="263" hidden="1" customWidth="1"/>
    <col min="8971" max="8981" width="8.81640625" style="263" hidden="1" customWidth="1"/>
    <col min="8982" max="9216" width="8.81640625" style="263" hidden="1"/>
    <col min="9217" max="9217" width="32.7265625" style="263" hidden="1" customWidth="1"/>
    <col min="9218" max="9219" width="12.1796875" style="263" hidden="1" customWidth="1"/>
    <col min="9220" max="9220" width="12.81640625" style="263" hidden="1" customWidth="1"/>
    <col min="9221" max="9226" width="12.1796875" style="263" hidden="1" customWidth="1"/>
    <col min="9227" max="9237" width="8.81640625" style="263" hidden="1" customWidth="1"/>
    <col min="9238" max="9472" width="8.81640625" style="263" hidden="1"/>
    <col min="9473" max="9473" width="32.7265625" style="263" hidden="1" customWidth="1"/>
    <col min="9474" max="9475" width="12.1796875" style="263" hidden="1" customWidth="1"/>
    <col min="9476" max="9476" width="12.81640625" style="263" hidden="1" customWidth="1"/>
    <col min="9477" max="9482" width="12.1796875" style="263" hidden="1" customWidth="1"/>
    <col min="9483" max="9493" width="8.81640625" style="263" hidden="1" customWidth="1"/>
    <col min="9494" max="9728" width="8.81640625" style="263" hidden="1"/>
    <col min="9729" max="9729" width="32.7265625" style="263" hidden="1" customWidth="1"/>
    <col min="9730" max="9731" width="12.1796875" style="263" hidden="1" customWidth="1"/>
    <col min="9732" max="9732" width="12.81640625" style="263" hidden="1" customWidth="1"/>
    <col min="9733" max="9738" width="12.1796875" style="263" hidden="1" customWidth="1"/>
    <col min="9739" max="9749" width="8.81640625" style="263" hidden="1" customWidth="1"/>
    <col min="9750" max="9984" width="8.81640625" style="263" hidden="1"/>
    <col min="9985" max="9985" width="32.7265625" style="263" hidden="1" customWidth="1"/>
    <col min="9986" max="9987" width="12.1796875" style="263" hidden="1" customWidth="1"/>
    <col min="9988" max="9988" width="12.81640625" style="263" hidden="1" customWidth="1"/>
    <col min="9989" max="9994" width="12.1796875" style="263" hidden="1" customWidth="1"/>
    <col min="9995" max="10005" width="8.81640625" style="263" hidden="1" customWidth="1"/>
    <col min="10006" max="10240" width="8.81640625" style="263" hidden="1"/>
    <col min="10241" max="10241" width="32.7265625" style="263" hidden="1" customWidth="1"/>
    <col min="10242" max="10243" width="12.1796875" style="263" hidden="1" customWidth="1"/>
    <col min="10244" max="10244" width="12.81640625" style="263" hidden="1" customWidth="1"/>
    <col min="10245" max="10250" width="12.1796875" style="263" hidden="1" customWidth="1"/>
    <col min="10251" max="10261" width="8.81640625" style="263" hidden="1" customWidth="1"/>
    <col min="10262" max="10496" width="8.81640625" style="263" hidden="1"/>
    <col min="10497" max="10497" width="32.7265625" style="263" hidden="1" customWidth="1"/>
    <col min="10498" max="10499" width="12.1796875" style="263" hidden="1" customWidth="1"/>
    <col min="10500" max="10500" width="12.81640625" style="263" hidden="1" customWidth="1"/>
    <col min="10501" max="10506" width="12.1796875" style="263" hidden="1" customWidth="1"/>
    <col min="10507" max="10517" width="8.81640625" style="263" hidden="1" customWidth="1"/>
    <col min="10518" max="10752" width="8.81640625" style="263" hidden="1"/>
    <col min="10753" max="10753" width="32.7265625" style="263" hidden="1" customWidth="1"/>
    <col min="10754" max="10755" width="12.1796875" style="263" hidden="1" customWidth="1"/>
    <col min="10756" max="10756" width="12.81640625" style="263" hidden="1" customWidth="1"/>
    <col min="10757" max="10762" width="12.1796875" style="263" hidden="1" customWidth="1"/>
    <col min="10763" max="10773" width="8.81640625" style="263" hidden="1" customWidth="1"/>
    <col min="10774" max="11008" width="8.81640625" style="263" hidden="1"/>
    <col min="11009" max="11009" width="32.7265625" style="263" hidden="1" customWidth="1"/>
    <col min="11010" max="11011" width="12.1796875" style="263" hidden="1" customWidth="1"/>
    <col min="11012" max="11012" width="12.81640625" style="263" hidden="1" customWidth="1"/>
    <col min="11013" max="11018" width="12.1796875" style="263" hidden="1" customWidth="1"/>
    <col min="11019" max="11029" width="8.81640625" style="263" hidden="1" customWidth="1"/>
    <col min="11030" max="11264" width="8.81640625" style="263" hidden="1"/>
    <col min="11265" max="11265" width="32.7265625" style="263" hidden="1" customWidth="1"/>
    <col min="11266" max="11267" width="12.1796875" style="263" hidden="1" customWidth="1"/>
    <col min="11268" max="11268" width="12.81640625" style="263" hidden="1" customWidth="1"/>
    <col min="11269" max="11274" width="12.1796875" style="263" hidden="1" customWidth="1"/>
    <col min="11275" max="11285" width="8.81640625" style="263" hidden="1" customWidth="1"/>
    <col min="11286" max="11520" width="8.81640625" style="263" hidden="1"/>
    <col min="11521" max="11521" width="32.7265625" style="263" hidden="1" customWidth="1"/>
    <col min="11522" max="11523" width="12.1796875" style="263" hidden="1" customWidth="1"/>
    <col min="11524" max="11524" width="12.81640625" style="263" hidden="1" customWidth="1"/>
    <col min="11525" max="11530" width="12.1796875" style="263" hidden="1" customWidth="1"/>
    <col min="11531" max="11541" width="8.81640625" style="263" hidden="1" customWidth="1"/>
    <col min="11542" max="11776" width="8.81640625" style="263" hidden="1"/>
    <col min="11777" max="11777" width="32.7265625" style="263" hidden="1" customWidth="1"/>
    <col min="11778" max="11779" width="12.1796875" style="263" hidden="1" customWidth="1"/>
    <col min="11780" max="11780" width="12.81640625" style="263" hidden="1" customWidth="1"/>
    <col min="11781" max="11786" width="12.1796875" style="263" hidden="1" customWidth="1"/>
    <col min="11787" max="11797" width="8.81640625" style="263" hidden="1" customWidth="1"/>
    <col min="11798" max="12032" width="8.81640625" style="263" hidden="1"/>
    <col min="12033" max="12033" width="32.7265625" style="263" hidden="1" customWidth="1"/>
    <col min="12034" max="12035" width="12.1796875" style="263" hidden="1" customWidth="1"/>
    <col min="12036" max="12036" width="12.81640625" style="263" hidden="1" customWidth="1"/>
    <col min="12037" max="12042" width="12.1796875" style="263" hidden="1" customWidth="1"/>
    <col min="12043" max="12053" width="8.81640625" style="263" hidden="1" customWidth="1"/>
    <col min="12054" max="12288" width="8.81640625" style="263" hidden="1"/>
    <col min="12289" max="12289" width="32.7265625" style="263" hidden="1" customWidth="1"/>
    <col min="12290" max="12291" width="12.1796875" style="263" hidden="1" customWidth="1"/>
    <col min="12292" max="12292" width="12.81640625" style="263" hidden="1" customWidth="1"/>
    <col min="12293" max="12298" width="12.1796875" style="263" hidden="1" customWidth="1"/>
    <col min="12299" max="12309" width="8.81640625" style="263" hidden="1" customWidth="1"/>
    <col min="12310" max="12544" width="8.81640625" style="263" hidden="1"/>
    <col min="12545" max="12545" width="32.7265625" style="263" hidden="1" customWidth="1"/>
    <col min="12546" max="12547" width="12.1796875" style="263" hidden="1" customWidth="1"/>
    <col min="12548" max="12548" width="12.81640625" style="263" hidden="1" customWidth="1"/>
    <col min="12549" max="12554" width="12.1796875" style="263" hidden="1" customWidth="1"/>
    <col min="12555" max="12565" width="8.81640625" style="263" hidden="1" customWidth="1"/>
    <col min="12566" max="12800" width="8.81640625" style="263" hidden="1"/>
    <col min="12801" max="12801" width="32.7265625" style="263" hidden="1" customWidth="1"/>
    <col min="12802" max="12803" width="12.1796875" style="263" hidden="1" customWidth="1"/>
    <col min="12804" max="12804" width="12.81640625" style="263" hidden="1" customWidth="1"/>
    <col min="12805" max="12810" width="12.1796875" style="263" hidden="1" customWidth="1"/>
    <col min="12811" max="12821" width="8.81640625" style="263" hidden="1" customWidth="1"/>
    <col min="12822" max="13056" width="8.81640625" style="263" hidden="1"/>
    <col min="13057" max="13057" width="32.7265625" style="263" hidden="1" customWidth="1"/>
    <col min="13058" max="13059" width="12.1796875" style="263" hidden="1" customWidth="1"/>
    <col min="13060" max="13060" width="12.81640625" style="263" hidden="1" customWidth="1"/>
    <col min="13061" max="13066" width="12.1796875" style="263" hidden="1" customWidth="1"/>
    <col min="13067" max="13077" width="8.81640625" style="263" hidden="1" customWidth="1"/>
    <col min="13078" max="13312" width="8.81640625" style="263" hidden="1"/>
    <col min="13313" max="13313" width="32.7265625" style="263" hidden="1" customWidth="1"/>
    <col min="13314" max="13315" width="12.1796875" style="263" hidden="1" customWidth="1"/>
    <col min="13316" max="13316" width="12.81640625" style="263" hidden="1" customWidth="1"/>
    <col min="13317" max="13322" width="12.1796875" style="263" hidden="1" customWidth="1"/>
    <col min="13323" max="13333" width="8.81640625" style="263" hidden="1" customWidth="1"/>
    <col min="13334" max="13568" width="8.81640625" style="263" hidden="1"/>
    <col min="13569" max="13569" width="32.7265625" style="263" hidden="1" customWidth="1"/>
    <col min="13570" max="13571" width="12.1796875" style="263" hidden="1" customWidth="1"/>
    <col min="13572" max="13572" width="12.81640625" style="263" hidden="1" customWidth="1"/>
    <col min="13573" max="13578" width="12.1796875" style="263" hidden="1" customWidth="1"/>
    <col min="13579" max="13589" width="8.81640625" style="263" hidden="1" customWidth="1"/>
    <col min="13590" max="13824" width="8.81640625" style="263" hidden="1"/>
    <col min="13825" max="13825" width="32.7265625" style="263" hidden="1" customWidth="1"/>
    <col min="13826" max="13827" width="12.1796875" style="263" hidden="1" customWidth="1"/>
    <col min="13828" max="13828" width="12.81640625" style="263" hidden="1" customWidth="1"/>
    <col min="13829" max="13834" width="12.1796875" style="263" hidden="1" customWidth="1"/>
    <col min="13835" max="13845" width="8.81640625" style="263" hidden="1" customWidth="1"/>
    <col min="13846" max="14080" width="8.81640625" style="263" hidden="1"/>
    <col min="14081" max="14081" width="32.7265625" style="263" hidden="1" customWidth="1"/>
    <col min="14082" max="14083" width="12.1796875" style="263" hidden="1" customWidth="1"/>
    <col min="14084" max="14084" width="12.81640625" style="263" hidden="1" customWidth="1"/>
    <col min="14085" max="14090" width="12.1796875" style="263" hidden="1" customWidth="1"/>
    <col min="14091" max="14101" width="8.81640625" style="263" hidden="1" customWidth="1"/>
    <col min="14102" max="14336" width="8.81640625" style="263" hidden="1"/>
    <col min="14337" max="14337" width="32.7265625" style="263" hidden="1" customWidth="1"/>
    <col min="14338" max="14339" width="12.1796875" style="263" hidden="1" customWidth="1"/>
    <col min="14340" max="14340" width="12.81640625" style="263" hidden="1" customWidth="1"/>
    <col min="14341" max="14346" width="12.1796875" style="263" hidden="1" customWidth="1"/>
    <col min="14347" max="14357" width="8.81640625" style="263" hidden="1" customWidth="1"/>
    <col min="14358" max="14592" width="8.81640625" style="263" hidden="1"/>
    <col min="14593" max="14593" width="32.7265625" style="263" hidden="1" customWidth="1"/>
    <col min="14594" max="14595" width="12.1796875" style="263" hidden="1" customWidth="1"/>
    <col min="14596" max="14596" width="12.81640625" style="263" hidden="1" customWidth="1"/>
    <col min="14597" max="14602" width="12.1796875" style="263" hidden="1" customWidth="1"/>
    <col min="14603" max="14613" width="8.81640625" style="263" hidden="1" customWidth="1"/>
    <col min="14614" max="14848" width="8.81640625" style="263" hidden="1"/>
    <col min="14849" max="14849" width="32.7265625" style="263" hidden="1" customWidth="1"/>
    <col min="14850" max="14851" width="12.1796875" style="263" hidden="1" customWidth="1"/>
    <col min="14852" max="14852" width="12.81640625" style="263" hidden="1" customWidth="1"/>
    <col min="14853" max="14858" width="12.1796875" style="263" hidden="1" customWidth="1"/>
    <col min="14859" max="14869" width="8.81640625" style="263" hidden="1" customWidth="1"/>
    <col min="14870" max="15104" width="8.81640625" style="263" hidden="1"/>
    <col min="15105" max="15105" width="32.7265625" style="263" hidden="1" customWidth="1"/>
    <col min="15106" max="15107" width="12.1796875" style="263" hidden="1" customWidth="1"/>
    <col min="15108" max="15108" width="12.81640625" style="263" hidden="1" customWidth="1"/>
    <col min="15109" max="15114" width="12.1796875" style="263" hidden="1" customWidth="1"/>
    <col min="15115" max="15125" width="8.81640625" style="263" hidden="1" customWidth="1"/>
    <col min="15126" max="15360" width="8.81640625" style="263" hidden="1"/>
    <col min="15361" max="15361" width="32.7265625" style="263" hidden="1" customWidth="1"/>
    <col min="15362" max="15363" width="12.1796875" style="263" hidden="1" customWidth="1"/>
    <col min="15364" max="15364" width="12.81640625" style="263" hidden="1" customWidth="1"/>
    <col min="15365" max="15370" width="12.1796875" style="263" hidden="1" customWidth="1"/>
    <col min="15371" max="15381" width="8.81640625" style="263" hidden="1" customWidth="1"/>
    <col min="15382" max="15616" width="8.81640625" style="263" hidden="1"/>
    <col min="15617" max="15617" width="32.7265625" style="263" hidden="1" customWidth="1"/>
    <col min="15618" max="15619" width="12.1796875" style="263" hidden="1" customWidth="1"/>
    <col min="15620" max="15620" width="12.81640625" style="263" hidden="1" customWidth="1"/>
    <col min="15621" max="15626" width="12.1796875" style="263" hidden="1" customWidth="1"/>
    <col min="15627" max="15637" width="8.81640625" style="263" hidden="1" customWidth="1"/>
    <col min="15638" max="15872" width="8.81640625" style="263" hidden="1"/>
    <col min="15873" max="15873" width="32.7265625" style="263" hidden="1" customWidth="1"/>
    <col min="15874" max="15875" width="12.1796875" style="263" hidden="1" customWidth="1"/>
    <col min="15876" max="15876" width="12.81640625" style="263" hidden="1" customWidth="1"/>
    <col min="15877" max="15882" width="12.1796875" style="263" hidden="1" customWidth="1"/>
    <col min="15883" max="15893" width="8.81640625" style="263" hidden="1" customWidth="1"/>
    <col min="15894" max="16128" width="8.81640625" style="263" hidden="1"/>
    <col min="16129" max="16129" width="32.7265625" style="263" hidden="1" customWidth="1"/>
    <col min="16130" max="16131" width="12.1796875" style="263" hidden="1" customWidth="1"/>
    <col min="16132" max="16132" width="12.81640625" style="263" hidden="1" customWidth="1"/>
    <col min="16133" max="16138" width="12.1796875" style="263" hidden="1" customWidth="1"/>
    <col min="16139" max="16149" width="8.81640625" style="263" hidden="1" customWidth="1"/>
    <col min="16150" max="16384" width="8.81640625" style="263" hidden="1"/>
  </cols>
  <sheetData>
    <row r="1" spans="1:11" s="229" customFormat="1" ht="13">
      <c r="A1" s="1800" t="s">
        <v>1872</v>
      </c>
      <c r="B1" s="1801"/>
      <c r="C1" s="1801"/>
      <c r="D1" s="1801"/>
      <c r="E1" s="1801"/>
      <c r="F1" s="1801"/>
      <c r="G1" s="1801"/>
      <c r="H1" s="1801"/>
      <c r="I1" s="1801"/>
      <c r="J1" s="1802"/>
      <c r="K1" s="228"/>
    </row>
    <row r="2" spans="1:11" s="271" customFormat="1" ht="69">
      <c r="A2" s="268"/>
      <c r="B2" s="269" t="s">
        <v>1873</v>
      </c>
      <c r="C2" s="269" t="s">
        <v>1874</v>
      </c>
      <c r="D2" s="269" t="s">
        <v>1875</v>
      </c>
      <c r="E2" s="269" t="s">
        <v>1876</v>
      </c>
      <c r="F2" s="269" t="s">
        <v>1877</v>
      </c>
      <c r="G2" s="269" t="s">
        <v>1878</v>
      </c>
      <c r="H2" s="269" t="s">
        <v>1879</v>
      </c>
      <c r="I2" s="269" t="s">
        <v>1880</v>
      </c>
      <c r="J2" s="269" t="s">
        <v>1881</v>
      </c>
      <c r="K2" s="270"/>
    </row>
    <row r="3" spans="1:11" s="233" customFormat="1" ht="12">
      <c r="A3" s="230" t="s">
        <v>1755</v>
      </c>
      <c r="B3" s="231"/>
      <c r="C3" s="231"/>
      <c r="D3" s="231"/>
      <c r="E3" s="231"/>
      <c r="F3" s="231"/>
      <c r="G3" s="231"/>
      <c r="H3" s="231"/>
      <c r="I3" s="231"/>
      <c r="J3" s="231"/>
      <c r="K3" s="232"/>
    </row>
    <row r="4" spans="1:11" s="233" customFormat="1">
      <c r="A4" s="237" t="s">
        <v>1756</v>
      </c>
      <c r="B4" s="234">
        <f>'Sources and Uses Budget'!C4</f>
        <v>1440000</v>
      </c>
      <c r="C4" s="235">
        <f>B4</f>
        <v>1440000</v>
      </c>
      <c r="D4" s="235"/>
      <c r="E4" s="236"/>
      <c r="F4" s="236"/>
      <c r="G4" s="236"/>
      <c r="H4" s="236"/>
      <c r="I4" s="236"/>
      <c r="J4" s="236"/>
      <c r="K4" s="232"/>
    </row>
    <row r="5" spans="1:11" s="233" customFormat="1">
      <c r="A5" s="237" t="s">
        <v>690</v>
      </c>
      <c r="B5" s="234">
        <f>'Sources and Uses Budget'!C5</f>
        <v>0</v>
      </c>
      <c r="C5" s="235"/>
      <c r="D5" s="235"/>
      <c r="E5" s="236"/>
      <c r="F5" s="236"/>
      <c r="G5" s="236"/>
      <c r="H5" s="236"/>
      <c r="I5" s="236"/>
      <c r="J5" s="236"/>
      <c r="K5" s="232"/>
    </row>
    <row r="6" spans="1:11" s="233" customFormat="1">
      <c r="A6" s="237" t="s">
        <v>1757</v>
      </c>
      <c r="B6" s="234">
        <f>'Sources and Uses Budget'!C6</f>
        <v>0</v>
      </c>
      <c r="C6" s="235"/>
      <c r="D6" s="235"/>
      <c r="E6" s="236"/>
      <c r="F6" s="236"/>
      <c r="G6" s="236"/>
      <c r="H6" s="236"/>
      <c r="I6" s="236"/>
      <c r="J6" s="236"/>
      <c r="K6" s="232"/>
    </row>
    <row r="7" spans="1:11" s="233" customFormat="1">
      <c r="A7" s="237" t="s">
        <v>1758</v>
      </c>
      <c r="B7" s="234">
        <f>'Sources and Uses Budget'!C7</f>
        <v>0</v>
      </c>
      <c r="C7" s="235"/>
      <c r="D7" s="235"/>
      <c r="E7" s="236"/>
      <c r="F7" s="236"/>
      <c r="G7" s="236"/>
      <c r="H7" s="236"/>
      <c r="I7" s="236"/>
      <c r="J7" s="236"/>
      <c r="K7" s="232"/>
    </row>
    <row r="8" spans="1:11" s="233" customFormat="1">
      <c r="A8" s="238" t="s">
        <v>1759</v>
      </c>
      <c r="B8" s="234">
        <f>'Sources and Uses Budget'!C8</f>
        <v>1440000</v>
      </c>
      <c r="C8" s="234">
        <f>SUM(C4:C7)</f>
        <v>1440000</v>
      </c>
      <c r="D8" s="234">
        <f>SUM(D4:D7)</f>
        <v>0</v>
      </c>
      <c r="E8" s="236"/>
      <c r="F8" s="236"/>
      <c r="G8" s="236"/>
      <c r="H8" s="236"/>
      <c r="I8" s="236"/>
      <c r="J8" s="236"/>
      <c r="K8" s="232"/>
    </row>
    <row r="9" spans="1:11" s="233" customFormat="1">
      <c r="A9" s="237" t="s">
        <v>1760</v>
      </c>
      <c r="B9" s="234">
        <f>'Sources and Uses Budget'!C9</f>
        <v>0</v>
      </c>
      <c r="C9" s="235"/>
      <c r="D9" s="235"/>
      <c r="E9" s="236"/>
      <c r="F9" s="236"/>
      <c r="G9" s="236"/>
      <c r="H9" s="234">
        <f>'Sources and Uses Budget'!T9</f>
        <v>0</v>
      </c>
      <c r="I9" s="235"/>
      <c r="J9" s="235"/>
      <c r="K9" s="232"/>
    </row>
    <row r="10" spans="1:11" s="233" customFormat="1">
      <c r="A10" s="237" t="s">
        <v>1761</v>
      </c>
      <c r="B10" s="234">
        <f>'Sources and Uses Budget'!C10</f>
        <v>500000</v>
      </c>
      <c r="C10" s="235">
        <f>B10</f>
        <v>500000</v>
      </c>
      <c r="D10" s="235"/>
      <c r="E10" s="234">
        <f>'Sources and Uses Budget'!S10</f>
        <v>500000</v>
      </c>
      <c r="F10" s="235">
        <f>E10</f>
        <v>500000</v>
      </c>
      <c r="G10" s="235"/>
      <c r="H10" s="234">
        <f>'Sources and Uses Budget'!T10</f>
        <v>0</v>
      </c>
      <c r="I10" s="235"/>
      <c r="J10" s="235"/>
      <c r="K10" s="232"/>
    </row>
    <row r="11" spans="1:11" s="233" customFormat="1">
      <c r="A11" s="238" t="s">
        <v>1762</v>
      </c>
      <c r="B11" s="234">
        <f>'Sources and Uses Budget'!C11</f>
        <v>500000</v>
      </c>
      <c r="C11" s="234">
        <f>SUM(C9:C10)</f>
        <v>500000</v>
      </c>
      <c r="D11" s="234">
        <f>SUM(D9:D10)</f>
        <v>0</v>
      </c>
      <c r="E11" s="236"/>
      <c r="F11" s="236"/>
      <c r="G11" s="236"/>
      <c r="H11" s="234">
        <f>'Sources and Uses Budget'!T11</f>
        <v>0</v>
      </c>
      <c r="I11" s="234">
        <f>SUM(I9:I10)</f>
        <v>0</v>
      </c>
      <c r="J11" s="234">
        <f>SUM(J9:J10)</f>
        <v>0</v>
      </c>
      <c r="K11" s="232"/>
    </row>
    <row r="12" spans="1:11" s="233" customFormat="1">
      <c r="A12" s="238" t="s">
        <v>1763</v>
      </c>
      <c r="B12" s="234">
        <f>'Sources and Uses Budget'!C12</f>
        <v>1940000</v>
      </c>
      <c r="C12" s="234">
        <f>SUM(C8+C11)</f>
        <v>1940000</v>
      </c>
      <c r="D12" s="234">
        <f>SUM(D8+D11)</f>
        <v>0</v>
      </c>
      <c r="E12" s="236"/>
      <c r="F12" s="236"/>
      <c r="G12" s="236"/>
      <c r="H12" s="236"/>
      <c r="I12" s="236"/>
      <c r="J12" s="236"/>
      <c r="K12" s="232"/>
    </row>
    <row r="13" spans="1:11" s="233" customFormat="1">
      <c r="A13" s="239" t="s">
        <v>1764</v>
      </c>
      <c r="B13" s="234">
        <f>'Sources and Uses Budget'!C13</f>
        <v>0</v>
      </c>
      <c r="C13" s="235"/>
      <c r="D13" s="235"/>
      <c r="E13" s="234">
        <f>'Sources and Uses Budget'!S13</f>
        <v>0</v>
      </c>
      <c r="F13" s="235"/>
      <c r="G13" s="235"/>
      <c r="H13" s="234">
        <f>'Sources and Uses Budget'!T13</f>
        <v>0</v>
      </c>
      <c r="I13" s="235"/>
      <c r="J13" s="235"/>
      <c r="K13" s="232"/>
    </row>
    <row r="14" spans="1:11" s="233" customFormat="1" ht="23">
      <c r="A14" s="237" t="s">
        <v>1882</v>
      </c>
      <c r="B14" s="234">
        <f>'Sources and Uses Budget'!C14</f>
        <v>0</v>
      </c>
      <c r="C14" s="235"/>
      <c r="D14" s="235"/>
      <c r="E14" s="234">
        <f>'Sources and Uses Budget'!S14</f>
        <v>0</v>
      </c>
      <c r="F14" s="235"/>
      <c r="G14" s="235"/>
      <c r="H14" s="234">
        <f>'Sources and Uses Budget'!T14</f>
        <v>0</v>
      </c>
      <c r="I14" s="235"/>
      <c r="J14" s="235"/>
      <c r="K14" s="232"/>
    </row>
    <row r="15" spans="1:11" s="233" customFormat="1">
      <c r="A15" s="237" t="s">
        <v>1766</v>
      </c>
      <c r="B15" s="234">
        <f>'Sources and Uses Budget'!C15</f>
        <v>0</v>
      </c>
      <c r="C15" s="235"/>
      <c r="D15" s="235"/>
      <c r="E15" s="236">
        <f>'Sources and Uses Budget'!S15</f>
        <v>0</v>
      </c>
      <c r="F15" s="236"/>
      <c r="G15" s="236"/>
      <c r="H15" s="236">
        <f>'Sources and Uses Budget'!T15</f>
        <v>0</v>
      </c>
      <c r="I15" s="236"/>
      <c r="J15" s="236"/>
      <c r="K15" s="232"/>
    </row>
    <row r="16" spans="1:11" s="233" customFormat="1" ht="12">
      <c r="A16" s="230" t="s">
        <v>1767</v>
      </c>
      <c r="B16" s="231"/>
      <c r="C16" s="231"/>
      <c r="D16" s="231"/>
      <c r="E16" s="231"/>
      <c r="F16" s="231"/>
      <c r="G16" s="231"/>
      <c r="H16" s="231"/>
      <c r="I16" s="231"/>
      <c r="J16" s="231"/>
      <c r="K16" s="232"/>
    </row>
    <row r="17" spans="1:11" s="233" customFormat="1">
      <c r="A17" s="237" t="s">
        <v>1768</v>
      </c>
      <c r="B17" s="234">
        <f>'Sources and Uses Budget'!C17</f>
        <v>0</v>
      </c>
      <c r="C17" s="235"/>
      <c r="D17" s="235"/>
      <c r="E17" s="234">
        <f>'Sources and Uses Budget'!S17</f>
        <v>0</v>
      </c>
      <c r="F17" s="235"/>
      <c r="G17" s="235"/>
      <c r="H17" s="234">
        <f>'Sources and Uses Budget'!T17</f>
        <v>0</v>
      </c>
      <c r="I17" s="235"/>
      <c r="J17" s="235"/>
      <c r="K17" s="232"/>
    </row>
    <row r="18" spans="1:11" s="233" customFormat="1">
      <c r="A18" s="237" t="s">
        <v>1769</v>
      </c>
      <c r="B18" s="234">
        <f>'Sources and Uses Budget'!C18</f>
        <v>0</v>
      </c>
      <c r="C18" s="235"/>
      <c r="D18" s="235"/>
      <c r="E18" s="234">
        <f>'Sources and Uses Budget'!S18</f>
        <v>0</v>
      </c>
      <c r="F18" s="235"/>
      <c r="G18" s="235"/>
      <c r="H18" s="234">
        <f>'Sources and Uses Budget'!T18</f>
        <v>0</v>
      </c>
      <c r="I18" s="235"/>
      <c r="J18" s="235"/>
      <c r="K18" s="232"/>
    </row>
    <row r="19" spans="1:11" s="233" customFormat="1">
      <c r="A19" s="237" t="s">
        <v>1770</v>
      </c>
      <c r="B19" s="234">
        <f>'Sources and Uses Budget'!C19</f>
        <v>0</v>
      </c>
      <c r="C19" s="235"/>
      <c r="D19" s="235"/>
      <c r="E19" s="234">
        <f>'Sources and Uses Budget'!S19</f>
        <v>0</v>
      </c>
      <c r="F19" s="235"/>
      <c r="G19" s="235"/>
      <c r="H19" s="234">
        <f>'Sources and Uses Budget'!T19</f>
        <v>0</v>
      </c>
      <c r="I19" s="235"/>
      <c r="J19" s="235"/>
      <c r="K19" s="232"/>
    </row>
    <row r="20" spans="1:11" s="233" customFormat="1">
      <c r="A20" s="237" t="s">
        <v>1771</v>
      </c>
      <c r="B20" s="234">
        <f>'Sources and Uses Budget'!C20</f>
        <v>0</v>
      </c>
      <c r="C20" s="235"/>
      <c r="D20" s="235"/>
      <c r="E20" s="234">
        <f>'Sources and Uses Budget'!S20</f>
        <v>0</v>
      </c>
      <c r="F20" s="235"/>
      <c r="G20" s="235"/>
      <c r="H20" s="234">
        <f>'Sources and Uses Budget'!T20</f>
        <v>0</v>
      </c>
      <c r="I20" s="235"/>
      <c r="J20" s="235"/>
      <c r="K20" s="232"/>
    </row>
    <row r="21" spans="1:11" s="233" customFormat="1">
      <c r="A21" s="237" t="s">
        <v>1772</v>
      </c>
      <c r="B21" s="234">
        <f>'Sources and Uses Budget'!C21</f>
        <v>0</v>
      </c>
      <c r="C21" s="235"/>
      <c r="D21" s="235"/>
      <c r="E21" s="234">
        <f>'Sources and Uses Budget'!S21</f>
        <v>0</v>
      </c>
      <c r="F21" s="235"/>
      <c r="G21" s="235"/>
      <c r="H21" s="234">
        <f>'Sources and Uses Budget'!T21</f>
        <v>0</v>
      </c>
      <c r="I21" s="235"/>
      <c r="J21" s="235"/>
      <c r="K21" s="232"/>
    </row>
    <row r="22" spans="1:11" s="233" customFormat="1">
      <c r="A22" s="237" t="s">
        <v>1773</v>
      </c>
      <c r="B22" s="234">
        <f>'Sources and Uses Budget'!C22</f>
        <v>0</v>
      </c>
      <c r="C22" s="235"/>
      <c r="D22" s="235"/>
      <c r="E22" s="234">
        <f>'Sources and Uses Budget'!S22</f>
        <v>0</v>
      </c>
      <c r="F22" s="235"/>
      <c r="G22" s="235"/>
      <c r="H22" s="234">
        <f>'Sources and Uses Budget'!T22</f>
        <v>0</v>
      </c>
      <c r="I22" s="235"/>
      <c r="J22" s="235"/>
      <c r="K22" s="232"/>
    </row>
    <row r="23" spans="1:11" s="233" customFormat="1">
      <c r="A23" s="237" t="s">
        <v>1774</v>
      </c>
      <c r="B23" s="234">
        <f>'Sources and Uses Budget'!C23</f>
        <v>0</v>
      </c>
      <c r="C23" s="235"/>
      <c r="D23" s="235"/>
      <c r="E23" s="234">
        <f>'Sources and Uses Budget'!S23</f>
        <v>0</v>
      </c>
      <c r="F23" s="235"/>
      <c r="G23" s="235"/>
      <c r="H23" s="234">
        <f>'Sources and Uses Budget'!T23</f>
        <v>0</v>
      </c>
      <c r="I23" s="235"/>
      <c r="J23" s="235"/>
      <c r="K23" s="232"/>
    </row>
    <row r="24" spans="1:11" s="233" customFormat="1">
      <c r="A24" s="360" t="s">
        <v>1775</v>
      </c>
      <c r="B24" s="234">
        <f>'Sources and Uses Budget'!C24</f>
        <v>0</v>
      </c>
      <c r="C24" s="235"/>
      <c r="D24" s="235"/>
      <c r="E24" s="234">
        <f>'Sources and Uses Budget'!S24</f>
        <v>0</v>
      </c>
      <c r="F24" s="235"/>
      <c r="G24" s="235"/>
      <c r="H24" s="234">
        <f>'Sources and Uses Budget'!T24</f>
        <v>0</v>
      </c>
      <c r="I24" s="235"/>
      <c r="J24" s="235"/>
      <c r="K24" s="232"/>
    </row>
    <row r="25" spans="1:11" s="233" customFormat="1">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1777</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c r="A27" s="238" t="s">
        <v>1778</v>
      </c>
      <c r="B27" s="234">
        <f>'Sources and Uses Budget'!C27</f>
        <v>0</v>
      </c>
      <c r="C27" s="235"/>
      <c r="D27" s="235"/>
      <c r="E27" s="234">
        <f>'Sources and Uses Budget'!S27</f>
        <v>0</v>
      </c>
      <c r="F27" s="235"/>
      <c r="G27" s="235"/>
      <c r="H27" s="234">
        <f>'Sources and Uses Budget'!T27</f>
        <v>0</v>
      </c>
      <c r="I27" s="235"/>
      <c r="J27" s="235"/>
      <c r="K27" s="232"/>
    </row>
    <row r="28" spans="1:11" s="233" customFormat="1" ht="12">
      <c r="A28" s="230" t="s">
        <v>1779</v>
      </c>
      <c r="B28" s="231"/>
      <c r="C28" s="231"/>
      <c r="D28" s="231"/>
      <c r="E28" s="231"/>
      <c r="F28" s="231"/>
      <c r="G28" s="231"/>
      <c r="H28" s="231"/>
      <c r="I28" s="231"/>
      <c r="J28" s="231"/>
      <c r="K28" s="232"/>
    </row>
    <row r="29" spans="1:11" s="233" customFormat="1">
      <c r="A29" s="170" t="s">
        <v>1768</v>
      </c>
      <c r="B29" s="234">
        <f>'Sources and Uses Budget'!C29</f>
        <v>1000000</v>
      </c>
      <c r="C29" s="235">
        <f>B29</f>
        <v>1000000</v>
      </c>
      <c r="D29" s="235"/>
      <c r="E29" s="234">
        <f>'Sources and Uses Budget'!S29</f>
        <v>1000000</v>
      </c>
      <c r="F29" s="235">
        <f>E29</f>
        <v>1000000</v>
      </c>
      <c r="G29" s="235"/>
      <c r="H29" s="234">
        <f>'Sources and Uses Budget'!T29</f>
        <v>0</v>
      </c>
      <c r="I29" s="235"/>
      <c r="J29" s="235"/>
      <c r="K29" s="232"/>
    </row>
    <row r="30" spans="1:11" s="233" customFormat="1">
      <c r="A30" s="170" t="s">
        <v>1769</v>
      </c>
      <c r="B30" s="234">
        <f>'Sources and Uses Budget'!C30</f>
        <v>17510151</v>
      </c>
      <c r="C30" s="235">
        <f t="shared" ref="C30:C35" si="0">B30</f>
        <v>17510151</v>
      </c>
      <c r="D30" s="235"/>
      <c r="E30" s="234">
        <f>'Sources and Uses Budget'!S30</f>
        <v>17510151</v>
      </c>
      <c r="F30" s="235">
        <f t="shared" ref="F30:F31" si="1">E30</f>
        <v>17510151</v>
      </c>
      <c r="G30" s="235"/>
      <c r="H30" s="234">
        <f>'Sources and Uses Budget'!T30</f>
        <v>0</v>
      </c>
      <c r="I30" s="235"/>
      <c r="J30" s="235"/>
      <c r="K30" s="232"/>
    </row>
    <row r="31" spans="1:11" s="233" customFormat="1">
      <c r="A31" s="170" t="s">
        <v>1770</v>
      </c>
      <c r="B31" s="234">
        <f>'Sources and Uses Budget'!C31</f>
        <v>1368731</v>
      </c>
      <c r="C31" s="235">
        <f t="shared" si="0"/>
        <v>1368731</v>
      </c>
      <c r="D31" s="235"/>
      <c r="E31" s="234">
        <f>'Sources and Uses Budget'!S31</f>
        <v>1368731</v>
      </c>
      <c r="F31" s="235">
        <f t="shared" si="1"/>
        <v>1368731</v>
      </c>
      <c r="G31" s="235"/>
      <c r="H31" s="234">
        <f>'Sources and Uses Budget'!T31</f>
        <v>0</v>
      </c>
      <c r="I31" s="235"/>
      <c r="J31" s="235"/>
      <c r="K31" s="232"/>
    </row>
    <row r="32" spans="1:11" s="233" customFormat="1">
      <c r="A32" s="170" t="s">
        <v>1771</v>
      </c>
      <c r="B32" s="234">
        <f>'Sources and Uses Budget'!C32</f>
        <v>456244</v>
      </c>
      <c r="C32" s="235">
        <f t="shared" si="0"/>
        <v>456244</v>
      </c>
      <c r="D32" s="235"/>
      <c r="E32" s="234">
        <f>'Sources and Uses Budget'!S32</f>
        <v>456244</v>
      </c>
      <c r="F32" s="235">
        <f>E32</f>
        <v>456244</v>
      </c>
      <c r="G32" s="235"/>
      <c r="H32" s="234">
        <f>'Sources and Uses Budget'!T32</f>
        <v>0</v>
      </c>
      <c r="I32" s="235"/>
      <c r="J32" s="235"/>
      <c r="K32" s="232"/>
    </row>
    <row r="33" spans="1:11" s="233" customFormat="1">
      <c r="A33" s="170" t="s">
        <v>1772</v>
      </c>
      <c r="B33" s="234">
        <f>'Sources and Uses Budget'!C33</f>
        <v>1368731</v>
      </c>
      <c r="C33" s="235">
        <f t="shared" si="0"/>
        <v>1368731</v>
      </c>
      <c r="D33" s="235"/>
      <c r="E33" s="234">
        <f>'Sources and Uses Budget'!S33</f>
        <v>1368731</v>
      </c>
      <c r="F33" s="235">
        <f>E33</f>
        <v>1368731</v>
      </c>
      <c r="G33" s="235"/>
      <c r="H33" s="234">
        <f>'Sources and Uses Budget'!T33</f>
        <v>0</v>
      </c>
      <c r="I33" s="235"/>
      <c r="J33" s="235"/>
      <c r="K33" s="232"/>
    </row>
    <row r="34" spans="1:11" s="233" customFormat="1">
      <c r="A34" s="170" t="s">
        <v>1773</v>
      </c>
      <c r="B34" s="234">
        <f>'Sources and Uses Budget'!C34</f>
        <v>3802030</v>
      </c>
      <c r="C34" s="235">
        <f t="shared" si="0"/>
        <v>3802030</v>
      </c>
      <c r="D34" s="235"/>
      <c r="E34" s="234">
        <f>'Sources and Uses Budget'!S34</f>
        <v>3802030</v>
      </c>
      <c r="F34" s="235">
        <f t="shared" ref="F34:F35" si="2">E34</f>
        <v>3802030</v>
      </c>
      <c r="G34" s="235"/>
      <c r="H34" s="234">
        <f>'Sources and Uses Budget'!T34</f>
        <v>0</v>
      </c>
      <c r="I34" s="235"/>
      <c r="J34" s="235"/>
      <c r="K34" s="232"/>
    </row>
    <row r="35" spans="1:11" s="233" customFormat="1">
      <c r="A35" s="170" t="s">
        <v>1774</v>
      </c>
      <c r="B35" s="234">
        <f>'Sources and Uses Budget'!C35</f>
        <v>260059</v>
      </c>
      <c r="C35" s="235">
        <f t="shared" si="0"/>
        <v>260059</v>
      </c>
      <c r="D35" s="235"/>
      <c r="E35" s="234">
        <f>'Sources and Uses Budget'!S35</f>
        <v>260059</v>
      </c>
      <c r="F35" s="235">
        <f t="shared" si="2"/>
        <v>260059</v>
      </c>
      <c r="G35" s="235"/>
      <c r="H35" s="234">
        <f>'Sources and Uses Budget'!T35</f>
        <v>0</v>
      </c>
      <c r="I35" s="235"/>
      <c r="J35" s="235"/>
      <c r="K35" s="232"/>
    </row>
    <row r="36" spans="1:11" s="233" customFormat="1">
      <c r="A36" s="360" t="s">
        <v>1775</v>
      </c>
      <c r="B36" s="234">
        <f>'Sources and Uses Budget'!C36</f>
        <v>0</v>
      </c>
      <c r="C36" s="235"/>
      <c r="D36" s="235"/>
      <c r="E36" s="234">
        <f>'Sources and Uses Budget'!S36</f>
        <v>0</v>
      </c>
      <c r="F36" s="235"/>
      <c r="G36" s="235"/>
      <c r="H36" s="234">
        <f>'Sources and Uses Budget'!T36</f>
        <v>0</v>
      </c>
      <c r="I36" s="235"/>
      <c r="J36" s="235"/>
      <c r="K36" s="232"/>
    </row>
    <row r="37" spans="1:11" s="233" customFormat="1">
      <c r="A37" s="237" t="str">
        <f>'Sources and Uses Budget'!$A37</f>
        <v>Other: (Specify)</v>
      </c>
      <c r="B37" s="234">
        <f>'Sources and Uses Budget'!C37</f>
        <v>0</v>
      </c>
      <c r="C37" s="235"/>
      <c r="D37" s="235"/>
      <c r="E37" s="234">
        <f>'Sources and Uses Budget'!S37</f>
        <v>0</v>
      </c>
      <c r="F37" s="235"/>
      <c r="G37" s="235"/>
      <c r="H37" s="234">
        <f>'Sources and Uses Budget'!T37</f>
        <v>0</v>
      </c>
      <c r="I37" s="235"/>
      <c r="J37" s="235"/>
      <c r="K37" s="232"/>
    </row>
    <row r="38" spans="1:11" s="233" customFormat="1">
      <c r="A38" s="238" t="s">
        <v>1780</v>
      </c>
      <c r="B38" s="234">
        <f>'Sources and Uses Budget'!C38</f>
        <v>25765946</v>
      </c>
      <c r="C38" s="234">
        <f>SUM(C29:C37)</f>
        <v>25765946</v>
      </c>
      <c r="D38" s="234">
        <f>SUM(D29:D37)</f>
        <v>0</v>
      </c>
      <c r="E38" s="234">
        <f>'Sources and Uses Budget'!S38</f>
        <v>25765946</v>
      </c>
      <c r="F38" s="240">
        <f>SUM(F29:F37)</f>
        <v>25765946</v>
      </c>
      <c r="G38" s="240">
        <f>SUM(G29:G37)</f>
        <v>0</v>
      </c>
      <c r="H38" s="234">
        <f>'Sources and Uses Budget'!T38</f>
        <v>0</v>
      </c>
      <c r="I38" s="240">
        <f>SUM(I29:I37)</f>
        <v>0</v>
      </c>
      <c r="J38" s="240">
        <f>SUM(J29:J37)</f>
        <v>0</v>
      </c>
      <c r="K38" s="232"/>
    </row>
    <row r="39" spans="1:11" s="233" customFormat="1" ht="12">
      <c r="A39" s="230" t="s">
        <v>1781</v>
      </c>
      <c r="B39" s="231"/>
      <c r="C39" s="231"/>
      <c r="D39" s="231"/>
      <c r="E39" s="231"/>
      <c r="F39" s="231"/>
      <c r="G39" s="231"/>
      <c r="H39" s="231"/>
      <c r="I39" s="231"/>
      <c r="J39" s="231"/>
      <c r="K39" s="232"/>
    </row>
    <row r="40" spans="1:11" s="233" customFormat="1">
      <c r="A40" s="237" t="s">
        <v>1782</v>
      </c>
      <c r="B40" s="234">
        <f>'Sources and Uses Budget'!C40</f>
        <v>800000</v>
      </c>
      <c r="C40" s="235">
        <f>B40</f>
        <v>800000</v>
      </c>
      <c r="D40" s="235"/>
      <c r="E40" s="234">
        <f>'Sources and Uses Budget'!S40</f>
        <v>800000</v>
      </c>
      <c r="F40" s="235">
        <f>E40</f>
        <v>800000</v>
      </c>
      <c r="G40" s="235"/>
      <c r="H40" s="234">
        <f>'Sources and Uses Budget'!T40</f>
        <v>0</v>
      </c>
      <c r="I40" s="235"/>
      <c r="J40" s="235"/>
      <c r="K40" s="232"/>
    </row>
    <row r="41" spans="1:11" s="233" customFormat="1">
      <c r="A41" s="237" t="s">
        <v>1783</v>
      </c>
      <c r="B41" s="234">
        <f>'Sources and Uses Budget'!C41</f>
        <v>0</v>
      </c>
      <c r="C41" s="235"/>
      <c r="D41" s="235"/>
      <c r="E41" s="234">
        <f>'Sources and Uses Budget'!S41</f>
        <v>0</v>
      </c>
      <c r="F41" s="235"/>
      <c r="G41" s="235"/>
      <c r="H41" s="234">
        <f>'Sources and Uses Budget'!T41</f>
        <v>0</v>
      </c>
      <c r="I41" s="235"/>
      <c r="J41" s="235"/>
      <c r="K41" s="232"/>
    </row>
    <row r="42" spans="1:11" s="233" customFormat="1">
      <c r="A42" s="238" t="s">
        <v>1784</v>
      </c>
      <c r="B42" s="234">
        <f>'Sources and Uses Budget'!C42</f>
        <v>800000</v>
      </c>
      <c r="C42" s="234">
        <f>SUM(C39:C41)</f>
        <v>800000</v>
      </c>
      <c r="D42" s="234">
        <f>SUM(D39:D41)</f>
        <v>0</v>
      </c>
      <c r="E42" s="234">
        <f>'Sources and Uses Budget'!S42</f>
        <v>800000</v>
      </c>
      <c r="F42" s="240">
        <f>SUM(F40:F41)</f>
        <v>800000</v>
      </c>
      <c r="G42" s="240">
        <f>SUM(G40:G41)</f>
        <v>0</v>
      </c>
      <c r="H42" s="234">
        <f>'Sources and Uses Budget'!T42</f>
        <v>0</v>
      </c>
      <c r="I42" s="240">
        <f>SUM(I40:I41)</f>
        <v>0</v>
      </c>
      <c r="J42" s="240">
        <f>SUM(J40:J41)</f>
        <v>0</v>
      </c>
      <c r="K42" s="232"/>
    </row>
    <row r="43" spans="1:11" s="233" customFormat="1">
      <c r="A43" s="238" t="s">
        <v>1785</v>
      </c>
      <c r="B43" s="234">
        <f>'Sources and Uses Budget'!C43</f>
        <v>650000</v>
      </c>
      <c r="C43" s="235">
        <f>B43</f>
        <v>650000</v>
      </c>
      <c r="D43" s="235"/>
      <c r="E43" s="234">
        <f>'Sources and Uses Budget'!S43</f>
        <v>650000</v>
      </c>
      <c r="F43" s="235">
        <f>E43</f>
        <v>650000</v>
      </c>
      <c r="G43" s="235"/>
      <c r="H43" s="234">
        <f>'Sources and Uses Budget'!T43</f>
        <v>0</v>
      </c>
      <c r="I43" s="235"/>
      <c r="J43" s="235"/>
      <c r="K43" s="232"/>
    </row>
    <row r="44" spans="1:11" s="233" customFormat="1" ht="12">
      <c r="A44" s="230" t="s">
        <v>1786</v>
      </c>
      <c r="B44" s="231"/>
      <c r="C44" s="231"/>
      <c r="D44" s="231"/>
      <c r="E44" s="231"/>
      <c r="F44" s="231"/>
      <c r="G44" s="231"/>
      <c r="H44" s="231"/>
      <c r="I44" s="231"/>
      <c r="J44" s="231"/>
      <c r="K44" s="232"/>
    </row>
    <row r="45" spans="1:11" s="233" customFormat="1">
      <c r="A45" s="237" t="s">
        <v>1787</v>
      </c>
      <c r="B45" s="234">
        <f>'Sources and Uses Budget'!C45</f>
        <v>1803893</v>
      </c>
      <c r="C45" s="235">
        <f>B45</f>
        <v>1803893</v>
      </c>
      <c r="D45" s="235"/>
      <c r="E45" s="234">
        <f>'Sources and Uses Budget'!S45</f>
        <v>1061750</v>
      </c>
      <c r="F45" s="235">
        <f>E45</f>
        <v>1061750</v>
      </c>
      <c r="G45" s="235"/>
      <c r="H45" s="234">
        <f>'Sources and Uses Budget'!T45</f>
        <v>0</v>
      </c>
      <c r="I45" s="235"/>
      <c r="J45" s="235"/>
      <c r="K45" s="232"/>
    </row>
    <row r="46" spans="1:11" s="233" customFormat="1">
      <c r="A46" s="237" t="s">
        <v>1788</v>
      </c>
      <c r="B46" s="234">
        <f>'Sources and Uses Budget'!C46</f>
        <v>168018</v>
      </c>
      <c r="C46" s="235">
        <f t="shared" ref="C46:C53" si="3">B46</f>
        <v>168018</v>
      </c>
      <c r="D46" s="235"/>
      <c r="E46" s="234">
        <f>'Sources and Uses Budget'!S46</f>
        <v>126014</v>
      </c>
      <c r="F46" s="235">
        <f t="shared" ref="F46:F53" si="4">E46</f>
        <v>126014</v>
      </c>
      <c r="G46" s="235"/>
      <c r="H46" s="234">
        <f>'Sources and Uses Budget'!T46</f>
        <v>0</v>
      </c>
      <c r="I46" s="235"/>
      <c r="J46" s="235"/>
      <c r="K46" s="232"/>
    </row>
    <row r="47" spans="1:11" s="233" customFormat="1" ht="12" customHeight="1">
      <c r="A47" s="237" t="s">
        <v>1789</v>
      </c>
      <c r="B47" s="234">
        <f>'Sources and Uses Budget'!C47</f>
        <v>15000</v>
      </c>
      <c r="C47" s="235">
        <f t="shared" si="3"/>
        <v>15000</v>
      </c>
      <c r="D47" s="235"/>
      <c r="E47" s="234">
        <f>'Sources and Uses Budget'!S47</f>
        <v>11250</v>
      </c>
      <c r="F47" s="235">
        <f t="shared" si="4"/>
        <v>11250</v>
      </c>
      <c r="G47" s="235"/>
      <c r="H47" s="234">
        <f>'Sources and Uses Budget'!T47</f>
        <v>0</v>
      </c>
      <c r="I47" s="235"/>
      <c r="J47" s="235"/>
      <c r="K47" s="232"/>
    </row>
    <row r="48" spans="1:11" s="233" customFormat="1">
      <c r="A48" s="237" t="s">
        <v>1790</v>
      </c>
      <c r="B48" s="234">
        <f>'Sources and Uses Budget'!C48</f>
        <v>234053</v>
      </c>
      <c r="C48" s="235">
        <f t="shared" si="3"/>
        <v>234053</v>
      </c>
      <c r="D48" s="235"/>
      <c r="E48" s="234">
        <f>'Sources and Uses Budget'!S48</f>
        <v>234053</v>
      </c>
      <c r="F48" s="235">
        <f t="shared" si="4"/>
        <v>234053</v>
      </c>
      <c r="G48" s="235"/>
      <c r="H48" s="234">
        <f>'Sources and Uses Budget'!T48</f>
        <v>0</v>
      </c>
      <c r="I48" s="235"/>
      <c r="J48" s="235"/>
      <c r="K48" s="232"/>
    </row>
    <row r="49" spans="1:11" s="233" customFormat="1">
      <c r="A49" s="170" t="s">
        <v>1791</v>
      </c>
      <c r="B49" s="234">
        <f>'Sources and Uses Budget'!C49</f>
        <v>42005</v>
      </c>
      <c r="C49" s="235">
        <f t="shared" si="3"/>
        <v>42005</v>
      </c>
      <c r="D49" s="235"/>
      <c r="E49" s="234">
        <f>'Sources and Uses Budget'!S49</f>
        <v>42005</v>
      </c>
      <c r="F49" s="235">
        <f t="shared" si="4"/>
        <v>42005</v>
      </c>
      <c r="G49" s="235"/>
      <c r="H49" s="234">
        <f>'Sources and Uses Budget'!T49</f>
        <v>0</v>
      </c>
      <c r="I49" s="235"/>
      <c r="J49" s="235"/>
      <c r="K49" s="232"/>
    </row>
    <row r="50" spans="1:11" s="233" customFormat="1">
      <c r="A50" s="237" t="s">
        <v>1792</v>
      </c>
      <c r="B50" s="234">
        <f>'Sources and Uses Budget'!C50</f>
        <v>100000</v>
      </c>
      <c r="C50" s="235">
        <f t="shared" si="3"/>
        <v>100000</v>
      </c>
      <c r="D50" s="235"/>
      <c r="E50" s="234">
        <f>'Sources and Uses Budget'!S50</f>
        <v>75000</v>
      </c>
      <c r="F50" s="235">
        <f t="shared" si="4"/>
        <v>75000</v>
      </c>
      <c r="G50" s="235"/>
      <c r="H50" s="234">
        <f>'Sources and Uses Budget'!T50</f>
        <v>0</v>
      </c>
      <c r="I50" s="235"/>
      <c r="J50" s="235"/>
      <c r="K50" s="232"/>
    </row>
    <row r="51" spans="1:11" s="233" customFormat="1">
      <c r="A51" s="237" t="s">
        <v>1793</v>
      </c>
      <c r="B51" s="234">
        <f>'Sources and Uses Budget'!C51</f>
        <v>105000</v>
      </c>
      <c r="C51" s="235">
        <f t="shared" si="3"/>
        <v>105000</v>
      </c>
      <c r="D51" s="235"/>
      <c r="E51" s="234">
        <f>'Sources and Uses Budget'!S51</f>
        <v>105000</v>
      </c>
      <c r="F51" s="235">
        <f t="shared" si="4"/>
        <v>105000</v>
      </c>
      <c r="G51" s="235"/>
      <c r="H51" s="234">
        <f>'Sources and Uses Budget'!T51</f>
        <v>0</v>
      </c>
      <c r="I51" s="235"/>
      <c r="J51" s="235"/>
      <c r="K51" s="232"/>
    </row>
    <row r="52" spans="1:11" s="233" customFormat="1">
      <c r="A52" s="237" t="s">
        <v>1794</v>
      </c>
      <c r="B52" s="234">
        <f>'Sources and Uses Budget'!C52</f>
        <v>398000</v>
      </c>
      <c r="C52" s="235">
        <f t="shared" si="3"/>
        <v>398000</v>
      </c>
      <c r="D52" s="235"/>
      <c r="E52" s="234">
        <f>'Sources and Uses Budget'!S52</f>
        <v>398000</v>
      </c>
      <c r="F52" s="235">
        <f t="shared" si="4"/>
        <v>398000</v>
      </c>
      <c r="G52" s="235"/>
      <c r="H52" s="234">
        <f>'Sources and Uses Budget'!T52</f>
        <v>0</v>
      </c>
      <c r="I52" s="235"/>
      <c r="J52" s="235"/>
      <c r="K52" s="232"/>
    </row>
    <row r="53" spans="1:11" s="233" customFormat="1">
      <c r="A53" s="237" t="str">
        <f>'Sources and Uses Budget'!$A53</f>
        <v>Other: Employee Reporting</v>
      </c>
      <c r="B53" s="234">
        <f>'Sources and Uses Budget'!C53</f>
        <v>25000</v>
      </c>
      <c r="C53" s="235">
        <f t="shared" si="3"/>
        <v>25000</v>
      </c>
      <c r="D53" s="235"/>
      <c r="E53" s="234">
        <f>'Sources and Uses Budget'!S53</f>
        <v>25000</v>
      </c>
      <c r="F53" s="235">
        <f t="shared" si="4"/>
        <v>25000</v>
      </c>
      <c r="G53" s="235"/>
      <c r="H53" s="234">
        <f>'Sources and Uses Budget'!T53</f>
        <v>0</v>
      </c>
      <c r="I53" s="235"/>
      <c r="J53" s="235"/>
      <c r="K53" s="232"/>
    </row>
    <row r="54" spans="1:11" s="242" customFormat="1">
      <c r="A54" s="238" t="s">
        <v>1796</v>
      </c>
      <c r="B54" s="234">
        <f>'Sources and Uses Budget'!C54</f>
        <v>2890969</v>
      </c>
      <c r="C54" s="240">
        <f>SUM(C45:C53)</f>
        <v>2890969</v>
      </c>
      <c r="D54" s="240">
        <f>SUM(D45:D53)</f>
        <v>0</v>
      </c>
      <c r="E54" s="234">
        <f>'Sources and Uses Budget'!S54</f>
        <v>2078072</v>
      </c>
      <c r="F54" s="240">
        <f>SUM(F45:F53)</f>
        <v>2078072</v>
      </c>
      <c r="G54" s="240">
        <f>SUM(G45:G53)</f>
        <v>0</v>
      </c>
      <c r="H54" s="234">
        <f>'Sources and Uses Budget'!T54</f>
        <v>0</v>
      </c>
      <c r="I54" s="240">
        <f>SUM(I45:I53)</f>
        <v>0</v>
      </c>
      <c r="J54" s="240">
        <f>SUM(J45:J53)</f>
        <v>0</v>
      </c>
      <c r="K54" s="241"/>
    </row>
    <row r="55" spans="1:11" s="233" customFormat="1" ht="12">
      <c r="A55" s="230" t="s">
        <v>1356</v>
      </c>
      <c r="B55" s="231"/>
      <c r="C55" s="231"/>
      <c r="D55" s="231"/>
      <c r="E55" s="231"/>
      <c r="F55" s="231"/>
      <c r="G55" s="231"/>
      <c r="H55" s="231"/>
      <c r="I55" s="231"/>
      <c r="J55" s="231"/>
      <c r="K55" s="232"/>
    </row>
    <row r="56" spans="1:11" s="233" customFormat="1">
      <c r="A56" s="237" t="s">
        <v>1797</v>
      </c>
      <c r="B56" s="234">
        <f>'Sources and Uses Budget'!C56</f>
        <v>0</v>
      </c>
      <c r="C56" s="235"/>
      <c r="D56" s="235"/>
      <c r="E56" s="236"/>
      <c r="F56" s="236"/>
      <c r="G56" s="236"/>
      <c r="H56" s="236"/>
      <c r="I56" s="236"/>
      <c r="J56" s="236"/>
      <c r="K56" s="232"/>
    </row>
    <row r="57" spans="1:11" s="233" customFormat="1" ht="12" customHeight="1">
      <c r="A57" s="237" t="s">
        <v>1789</v>
      </c>
      <c r="B57" s="234">
        <f>'Sources and Uses Budget'!C57</f>
        <v>0</v>
      </c>
      <c r="C57" s="235"/>
      <c r="D57" s="235"/>
      <c r="E57" s="236"/>
      <c r="F57" s="236"/>
      <c r="G57" s="236"/>
      <c r="H57" s="236"/>
      <c r="I57" s="236"/>
      <c r="J57" s="236"/>
      <c r="K57" s="232"/>
    </row>
    <row r="58" spans="1:11" s="233" customFormat="1">
      <c r="A58" s="237" t="s">
        <v>1792</v>
      </c>
      <c r="B58" s="234">
        <f>'Sources and Uses Budget'!C58</f>
        <v>10000</v>
      </c>
      <c r="C58" s="235">
        <f>B58</f>
        <v>10000</v>
      </c>
      <c r="D58" s="235"/>
      <c r="E58" s="236"/>
      <c r="F58" s="236"/>
      <c r="G58" s="236"/>
      <c r="H58" s="236"/>
      <c r="I58" s="236"/>
      <c r="J58" s="236"/>
      <c r="K58" s="232"/>
    </row>
    <row r="59" spans="1:11" s="233" customFormat="1">
      <c r="A59" s="237" t="s">
        <v>1793</v>
      </c>
      <c r="B59" s="234">
        <f>'Sources and Uses Budget'!C59</f>
        <v>0</v>
      </c>
      <c r="C59" s="235"/>
      <c r="D59" s="235"/>
      <c r="E59" s="236"/>
      <c r="F59" s="236"/>
      <c r="G59" s="236"/>
      <c r="H59" s="236"/>
      <c r="I59" s="236"/>
      <c r="J59" s="236"/>
      <c r="K59" s="232"/>
    </row>
    <row r="60" spans="1:11" s="233" customFormat="1">
      <c r="A60" s="237" t="s">
        <v>1794</v>
      </c>
      <c r="B60" s="234">
        <f>'Sources and Uses Budget'!C60</f>
        <v>15000</v>
      </c>
      <c r="C60" s="235">
        <f>B60</f>
        <v>15000</v>
      </c>
      <c r="D60" s="235"/>
      <c r="E60" s="236"/>
      <c r="F60" s="236"/>
      <c r="G60" s="236"/>
      <c r="H60" s="236"/>
      <c r="I60" s="236"/>
      <c r="J60" s="236"/>
      <c r="K60" s="232"/>
    </row>
    <row r="61" spans="1:11" s="233" customFormat="1">
      <c r="A61" s="237" t="str">
        <f>'Sources and Uses Budget'!$A61</f>
        <v>Other: (Specify)</v>
      </c>
      <c r="B61" s="234">
        <f>'Sources and Uses Budget'!C61</f>
        <v>0</v>
      </c>
      <c r="C61" s="235"/>
      <c r="D61" s="235"/>
      <c r="E61" s="236"/>
      <c r="F61" s="236"/>
      <c r="G61" s="236"/>
      <c r="H61" s="236"/>
      <c r="I61" s="236"/>
      <c r="J61" s="236"/>
      <c r="K61" s="232"/>
    </row>
    <row r="62" spans="1:11" s="233" customFormat="1" ht="13.75" customHeight="1">
      <c r="A62" s="238" t="s">
        <v>1798</v>
      </c>
      <c r="B62" s="234">
        <f>'Sources and Uses Budget'!C62</f>
        <v>25000</v>
      </c>
      <c r="C62" s="234">
        <f>SUM(C56:C61)</f>
        <v>25000</v>
      </c>
      <c r="D62" s="234">
        <f>SUM(D56:D61)</f>
        <v>0</v>
      </c>
      <c r="E62" s="236"/>
      <c r="F62" s="236"/>
      <c r="G62" s="236"/>
      <c r="H62" s="236"/>
      <c r="I62" s="236"/>
      <c r="J62" s="236"/>
      <c r="K62" s="232"/>
    </row>
    <row r="63" spans="1:11" s="233" customFormat="1">
      <c r="A63" s="243" t="s">
        <v>1799</v>
      </c>
      <c r="B63" s="234">
        <f>'Sources and Uses Budget'!C63</f>
        <v>32071915</v>
      </c>
      <c r="C63" s="234">
        <f>SUM(C8+C11+C13+C14+C15+C26+C27+C38+C42+C43+C54+C62)</f>
        <v>32071915</v>
      </c>
      <c r="D63" s="234">
        <f>SUM(D8+D11+D13+D14+D15+D26+D27+D38+D42+D43+D54+D62)</f>
        <v>0</v>
      </c>
      <c r="E63" s="234">
        <f>'Sources and Uses Budget'!S63</f>
        <v>29794018</v>
      </c>
      <c r="F63" s="234">
        <f>SUM(F10+F13+F14+F15+F26+F27+F38+F42+F43+F54)</f>
        <v>29794018</v>
      </c>
      <c r="G63" s="234">
        <f>SUM(G10+G13+G14+G15+G26+G27+G38+G42+G43+G54)</f>
        <v>0</v>
      </c>
      <c r="H63" s="234">
        <f>'Sources and Uses Budget'!T63</f>
        <v>0</v>
      </c>
      <c r="I63" s="234">
        <f>SUM(I11+I13+I14+I15+I26+I27+I38+I42+I43+I54)</f>
        <v>0</v>
      </c>
      <c r="J63" s="234">
        <f>SUM(J11+J13+J14+J15+J26+J27+J38+J42+J43+J54)</f>
        <v>0</v>
      </c>
      <c r="K63" s="232"/>
    </row>
    <row r="64" spans="1:11" s="233" customFormat="1" ht="24">
      <c r="A64" s="82" t="s">
        <v>1800</v>
      </c>
      <c r="B64" s="231"/>
      <c r="C64" s="231"/>
      <c r="D64" s="231"/>
      <c r="E64" s="231"/>
      <c r="F64" s="231"/>
      <c r="G64" s="231"/>
      <c r="H64" s="231"/>
      <c r="I64" s="231"/>
      <c r="J64" s="231"/>
      <c r="K64" s="232"/>
    </row>
    <row r="65" spans="1:11" s="233" customFormat="1">
      <c r="A65" s="170" t="s">
        <v>1801</v>
      </c>
      <c r="B65" s="234">
        <f>'Sources and Uses Budget'!C65</f>
        <v>100000</v>
      </c>
      <c r="C65" s="235">
        <f>B65</f>
        <v>100000</v>
      </c>
      <c r="D65" s="235"/>
      <c r="E65" s="234">
        <f>'Sources and Uses Budget'!S65</f>
        <v>100000</v>
      </c>
      <c r="F65" s="235">
        <f>E65</f>
        <v>100000</v>
      </c>
      <c r="G65" s="235"/>
      <c r="H65" s="234">
        <f>'Sources and Uses Budget'!T65</f>
        <v>0</v>
      </c>
      <c r="I65" s="235"/>
      <c r="J65" s="235"/>
      <c r="K65" s="232"/>
    </row>
    <row r="66" spans="1:11" s="233" customFormat="1" ht="23">
      <c r="A66" s="170" t="s">
        <v>1802</v>
      </c>
      <c r="B66" s="234">
        <f>'Sources and Uses Budget'!C66</f>
        <v>0</v>
      </c>
      <c r="C66" s="235"/>
      <c r="D66" s="235"/>
      <c r="E66" s="234">
        <f>'Sources and Uses Budget'!S66</f>
        <v>0</v>
      </c>
      <c r="F66" s="235"/>
      <c r="G66" s="235"/>
      <c r="H66" s="234">
        <f>'Sources and Uses Budget'!T66</f>
        <v>0</v>
      </c>
      <c r="I66" s="235"/>
      <c r="J66" s="235"/>
      <c r="K66" s="232"/>
    </row>
    <row r="67" spans="1:11" s="233" customFormat="1" ht="23">
      <c r="A67" s="170" t="s">
        <v>1803</v>
      </c>
      <c r="B67" s="234">
        <f>'Sources and Uses Budget'!C67</f>
        <v>0</v>
      </c>
      <c r="C67" s="235"/>
      <c r="D67" s="235"/>
      <c r="E67" s="234">
        <f>'Sources and Uses Budget'!S67</f>
        <v>0</v>
      </c>
      <c r="F67" s="235"/>
      <c r="G67" s="235"/>
      <c r="H67" s="234">
        <f>'Sources and Uses Budget'!T67</f>
        <v>0</v>
      </c>
      <c r="I67" s="235"/>
      <c r="J67" s="235"/>
      <c r="K67" s="232"/>
    </row>
    <row r="68" spans="1:11" s="233" customFormat="1">
      <c r="A68" s="170" t="s">
        <v>1804</v>
      </c>
      <c r="B68" s="234">
        <f>'Sources and Uses Budget'!C68</f>
        <v>0</v>
      </c>
      <c r="C68" s="235"/>
      <c r="D68" s="235"/>
      <c r="E68" s="234">
        <f>'Sources and Uses Budget'!S68</f>
        <v>0</v>
      </c>
      <c r="F68" s="235"/>
      <c r="G68" s="235"/>
      <c r="H68" s="234">
        <f>'Sources and Uses Budget'!T68</f>
        <v>0</v>
      </c>
      <c r="I68" s="235"/>
      <c r="J68" s="235"/>
      <c r="K68" s="232"/>
    </row>
    <row r="69" spans="1:11" s="233" customFormat="1">
      <c r="A69" s="237" t="str">
        <f>'Sources and Uses Budget'!$A69</f>
        <v>Other: Legal</v>
      </c>
      <c r="B69" s="234">
        <f>'Sources and Uses Budget'!C69</f>
        <v>225000</v>
      </c>
      <c r="C69" s="235">
        <f>B69</f>
        <v>225000</v>
      </c>
      <c r="D69" s="235"/>
      <c r="E69" s="234">
        <f>'Sources and Uses Budget'!S69</f>
        <v>75000</v>
      </c>
      <c r="F69" s="235">
        <f>E69</f>
        <v>75000</v>
      </c>
      <c r="G69" s="235"/>
      <c r="H69" s="234">
        <f>'Sources and Uses Budget'!T69</f>
        <v>0</v>
      </c>
      <c r="I69" s="235"/>
      <c r="J69" s="235"/>
      <c r="K69" s="232"/>
    </row>
    <row r="70" spans="1:11" s="233" customFormat="1">
      <c r="A70" s="238" t="s">
        <v>1883</v>
      </c>
      <c r="B70" s="234">
        <f>'Sources and Uses Budget'!C70</f>
        <v>325000</v>
      </c>
      <c r="C70" s="234">
        <f>SUM(C64:C69)</f>
        <v>325000</v>
      </c>
      <c r="D70" s="234">
        <f>SUM(D64:D69)</f>
        <v>0</v>
      </c>
      <c r="E70" s="234">
        <f>'Sources and Uses Budget'!S70</f>
        <v>175000</v>
      </c>
      <c r="F70" s="240">
        <f>SUM(F65:F69)</f>
        <v>175000</v>
      </c>
      <c r="G70" s="240">
        <f>SUM(G65:G69)</f>
        <v>0</v>
      </c>
      <c r="H70" s="234">
        <f>'Sources and Uses Budget'!T70</f>
        <v>0</v>
      </c>
      <c r="I70" s="240">
        <f>SUM(I65:I69)</f>
        <v>0</v>
      </c>
      <c r="J70" s="240">
        <f>SUM(J65:J69)</f>
        <v>0</v>
      </c>
      <c r="K70" s="232"/>
    </row>
    <row r="71" spans="1:11" s="233" customFormat="1" ht="12">
      <c r="A71" s="230" t="s">
        <v>1807</v>
      </c>
      <c r="B71" s="231"/>
      <c r="C71" s="231"/>
      <c r="D71" s="231"/>
      <c r="E71" s="231"/>
      <c r="F71" s="231"/>
      <c r="G71" s="231"/>
      <c r="H71" s="231"/>
      <c r="I71" s="231"/>
      <c r="J71" s="231"/>
      <c r="K71" s="232"/>
    </row>
    <row r="72" spans="1:11" s="233" customFormat="1">
      <c r="A72" s="237" t="s">
        <v>1808</v>
      </c>
      <c r="B72" s="234">
        <f>'Sources and Uses Budget'!C72</f>
        <v>0</v>
      </c>
      <c r="C72" s="235"/>
      <c r="D72" s="235"/>
      <c r="E72" s="236"/>
      <c r="F72" s="236"/>
      <c r="G72" s="236"/>
      <c r="H72" s="236"/>
      <c r="I72" s="236"/>
      <c r="J72" s="236"/>
      <c r="K72" s="232"/>
    </row>
    <row r="73" spans="1:11" s="233" customFormat="1">
      <c r="A73" s="237" t="s">
        <v>1809</v>
      </c>
      <c r="B73" s="234">
        <f>'Sources and Uses Budget'!C73</f>
        <v>0</v>
      </c>
      <c r="C73" s="235"/>
      <c r="D73" s="235"/>
      <c r="E73" s="236"/>
      <c r="F73" s="236"/>
      <c r="G73" s="236"/>
      <c r="H73" s="236"/>
      <c r="I73" s="236"/>
      <c r="J73" s="236"/>
      <c r="K73" s="232"/>
    </row>
    <row r="74" spans="1:11" s="233" customFormat="1">
      <c r="A74" s="239" t="s">
        <v>1810</v>
      </c>
      <c r="B74" s="234">
        <f>'Sources and Uses Budget'!C74</f>
        <v>0</v>
      </c>
      <c r="C74" s="235"/>
      <c r="D74" s="235"/>
      <c r="E74" s="236"/>
      <c r="F74" s="236"/>
      <c r="G74" s="236"/>
      <c r="H74" s="236"/>
      <c r="I74" s="236"/>
      <c r="J74" s="236"/>
      <c r="K74" s="232"/>
    </row>
    <row r="75" spans="1:11" s="233" customFormat="1">
      <c r="A75" s="237" t="s">
        <v>1811</v>
      </c>
      <c r="B75" s="234">
        <f>'Sources and Uses Budget'!C75</f>
        <v>300008</v>
      </c>
      <c r="C75" s="235">
        <f>B75</f>
        <v>300008</v>
      </c>
      <c r="D75" s="235"/>
      <c r="E75" s="236"/>
      <c r="F75" s="236"/>
      <c r="G75" s="236"/>
      <c r="H75" s="236"/>
      <c r="I75" s="236"/>
      <c r="J75" s="236"/>
      <c r="K75" s="232"/>
    </row>
    <row r="76" spans="1:11" s="233" customFormat="1">
      <c r="A76" s="237" t="str">
        <f>'Sources and Uses Budget'!$A76</f>
        <v>Other: (Specify)</v>
      </c>
      <c r="B76" s="234">
        <f>'Sources and Uses Budget'!C76</f>
        <v>0</v>
      </c>
      <c r="C76" s="235"/>
      <c r="D76" s="235"/>
      <c r="E76" s="236"/>
      <c r="F76" s="236"/>
      <c r="G76" s="236"/>
      <c r="H76" s="236"/>
      <c r="I76" s="236"/>
      <c r="J76" s="236"/>
      <c r="K76" s="232"/>
    </row>
    <row r="77" spans="1:11" s="233" customFormat="1">
      <c r="A77" s="238" t="s">
        <v>1812</v>
      </c>
      <c r="B77" s="234">
        <f>'Sources and Uses Budget'!C77</f>
        <v>300008</v>
      </c>
      <c r="C77" s="234">
        <f>SUM(C72:C76)</f>
        <v>300008</v>
      </c>
      <c r="D77" s="234">
        <f>SUM(D72:D76)</f>
        <v>0</v>
      </c>
      <c r="E77" s="236"/>
      <c r="F77" s="236"/>
      <c r="G77" s="236"/>
      <c r="H77" s="236"/>
      <c r="I77" s="236"/>
      <c r="J77" s="236"/>
      <c r="K77" s="232"/>
    </row>
    <row r="78" spans="1:11" s="233" customFormat="1" ht="12">
      <c r="A78" s="230" t="s">
        <v>1813</v>
      </c>
      <c r="B78" s="231"/>
      <c r="C78" s="231"/>
      <c r="D78" s="231"/>
      <c r="E78" s="231"/>
      <c r="F78" s="231"/>
      <c r="G78" s="231"/>
      <c r="H78" s="231"/>
      <c r="I78" s="231"/>
      <c r="J78" s="231"/>
      <c r="K78" s="232"/>
    </row>
    <row r="79" spans="1:11" s="233" customFormat="1">
      <c r="A79" s="237" t="s">
        <v>1814</v>
      </c>
      <c r="B79" s="234">
        <f>'Sources and Uses Budget'!C79</f>
        <v>1325000</v>
      </c>
      <c r="C79" s="235">
        <f>B79</f>
        <v>1325000</v>
      </c>
      <c r="D79" s="235"/>
      <c r="E79" s="234">
        <f>'Sources and Uses Budget'!S79</f>
        <v>1325000</v>
      </c>
      <c r="F79" s="235">
        <f>E79</f>
        <v>1325000</v>
      </c>
      <c r="G79" s="235"/>
      <c r="H79" s="234">
        <f>'Sources and Uses Budget'!T79</f>
        <v>0</v>
      </c>
      <c r="I79" s="235"/>
      <c r="J79" s="235"/>
      <c r="K79" s="232"/>
    </row>
    <row r="80" spans="1:11" s="233" customFormat="1">
      <c r="A80" s="237" t="s">
        <v>1815</v>
      </c>
      <c r="B80" s="234">
        <f>'Sources and Uses Budget'!C80</f>
        <v>357437</v>
      </c>
      <c r="C80" s="235">
        <f>B80</f>
        <v>357437</v>
      </c>
      <c r="D80" s="235"/>
      <c r="E80" s="234">
        <f>'Sources and Uses Budget'!S80</f>
        <v>357437</v>
      </c>
      <c r="F80" s="235">
        <f>E80</f>
        <v>357437</v>
      </c>
      <c r="G80" s="235"/>
      <c r="H80" s="234">
        <f>'Sources and Uses Budget'!T80</f>
        <v>0</v>
      </c>
      <c r="I80" s="235"/>
      <c r="J80" s="235"/>
      <c r="K80" s="232"/>
    </row>
    <row r="81" spans="1:11" s="233" customFormat="1">
      <c r="A81" s="238" t="s">
        <v>1816</v>
      </c>
      <c r="B81" s="234">
        <f>'Sources and Uses Budget'!C81</f>
        <v>1682437</v>
      </c>
      <c r="C81" s="234">
        <f>SUM(C79:C80)</f>
        <v>1682437</v>
      </c>
      <c r="D81" s="234">
        <f>SUM(D79:D80)</f>
        <v>0</v>
      </c>
      <c r="E81" s="234">
        <f>'Sources and Uses Budget'!S81</f>
        <v>1682437</v>
      </c>
      <c r="F81" s="234">
        <f>SUM(F79:F80)</f>
        <v>1682437</v>
      </c>
      <c r="G81" s="234">
        <f>SUM(G79:G80)</f>
        <v>0</v>
      </c>
      <c r="H81" s="234">
        <f>'Sources and Uses Budget'!T81</f>
        <v>0</v>
      </c>
      <c r="I81" s="234">
        <f>SUM(I79:I80)</f>
        <v>0</v>
      </c>
      <c r="J81" s="234">
        <f>SUM(J79:J80)</f>
        <v>0</v>
      </c>
      <c r="K81" s="232"/>
    </row>
    <row r="82" spans="1:11" s="233" customFormat="1" ht="12">
      <c r="A82" s="230" t="s">
        <v>1817</v>
      </c>
      <c r="B82" s="231"/>
      <c r="C82" s="231"/>
      <c r="D82" s="231"/>
      <c r="E82" s="231"/>
      <c r="F82" s="231"/>
      <c r="G82" s="231"/>
      <c r="H82" s="231"/>
      <c r="I82" s="231"/>
      <c r="J82" s="231"/>
      <c r="K82" s="232"/>
    </row>
    <row r="83" spans="1:11" s="233" customFormat="1" ht="13.75" customHeight="1">
      <c r="A83" s="170" t="s">
        <v>1818</v>
      </c>
      <c r="B83" s="234">
        <f>'Sources and Uses Budget'!C83</f>
        <v>59361</v>
      </c>
      <c r="C83" s="235">
        <f>B83</f>
        <v>59361</v>
      </c>
      <c r="D83" s="235"/>
      <c r="E83" s="236"/>
      <c r="F83" s="236"/>
      <c r="G83" s="236"/>
      <c r="H83" s="236"/>
      <c r="I83" s="236"/>
      <c r="J83" s="236"/>
      <c r="K83" s="232"/>
    </row>
    <row r="84" spans="1:11" s="233" customFormat="1">
      <c r="A84" s="170" t="s">
        <v>1819</v>
      </c>
      <c r="B84" s="234">
        <f>'Sources and Uses Budget'!C84</f>
        <v>50000</v>
      </c>
      <c r="C84" s="235">
        <f t="shared" ref="C84:C86" si="5">B84</f>
        <v>50000</v>
      </c>
      <c r="D84" s="235"/>
      <c r="E84" s="234">
        <f>'Sources and Uses Budget'!S84</f>
        <v>50000</v>
      </c>
      <c r="F84" s="235">
        <f>E84</f>
        <v>50000</v>
      </c>
      <c r="G84" s="235"/>
      <c r="H84" s="234">
        <f>'Sources and Uses Budget'!T84</f>
        <v>0</v>
      </c>
      <c r="I84" s="235"/>
      <c r="J84" s="235"/>
      <c r="K84" s="232"/>
    </row>
    <row r="85" spans="1:11" s="233" customFormat="1">
      <c r="A85" s="170" t="s">
        <v>1820</v>
      </c>
      <c r="B85" s="234">
        <f>'Sources and Uses Budget'!C85</f>
        <v>2090568</v>
      </c>
      <c r="C85" s="235">
        <f t="shared" si="5"/>
        <v>2090568</v>
      </c>
      <c r="D85" s="235"/>
      <c r="E85" s="234">
        <f>'Sources and Uses Budget'!S85</f>
        <v>2090568</v>
      </c>
      <c r="F85" s="235">
        <f t="shared" ref="F85:F86" si="6">E85</f>
        <v>2090568</v>
      </c>
      <c r="G85" s="235"/>
      <c r="H85" s="234">
        <f>'Sources and Uses Budget'!T85</f>
        <v>0</v>
      </c>
      <c r="I85" s="235"/>
      <c r="J85" s="235"/>
      <c r="K85" s="232"/>
    </row>
    <row r="86" spans="1:11" s="233" customFormat="1">
      <c r="A86" s="170" t="s">
        <v>1821</v>
      </c>
      <c r="B86" s="234">
        <f>'Sources and Uses Budget'!C86</f>
        <v>824433</v>
      </c>
      <c r="C86" s="235">
        <f t="shared" si="5"/>
        <v>824433</v>
      </c>
      <c r="D86" s="235"/>
      <c r="E86" s="234">
        <f>'Sources and Uses Budget'!S86</f>
        <v>824433</v>
      </c>
      <c r="F86" s="235">
        <f t="shared" si="6"/>
        <v>824433</v>
      </c>
      <c r="G86" s="235"/>
      <c r="H86" s="234">
        <f>'Sources and Uses Budget'!T86</f>
        <v>0</v>
      </c>
      <c r="I86" s="235"/>
      <c r="J86" s="235"/>
      <c r="K86" s="232"/>
    </row>
    <row r="87" spans="1:11" s="233" customFormat="1">
      <c r="A87" s="170" t="s">
        <v>1822</v>
      </c>
      <c r="B87" s="234">
        <f>'Sources and Uses Budget'!C87</f>
        <v>0</v>
      </c>
      <c r="C87" s="235"/>
      <c r="D87" s="235"/>
      <c r="E87" s="234">
        <f>'Sources and Uses Budget'!S87</f>
        <v>0</v>
      </c>
      <c r="F87" s="235"/>
      <c r="G87" s="235"/>
      <c r="H87" s="234">
        <f>'Sources and Uses Budget'!T87</f>
        <v>0</v>
      </c>
      <c r="I87" s="235"/>
      <c r="J87" s="235"/>
      <c r="K87" s="232"/>
    </row>
    <row r="88" spans="1:11" s="233" customFormat="1">
      <c r="A88" s="170" t="s">
        <v>1823</v>
      </c>
      <c r="B88" s="234">
        <f>'Sources and Uses Budget'!C88</f>
        <v>0</v>
      </c>
      <c r="C88" s="235"/>
      <c r="D88" s="235"/>
      <c r="E88" s="236"/>
      <c r="F88" s="236"/>
      <c r="G88" s="236"/>
      <c r="H88" s="236"/>
      <c r="I88" s="236"/>
      <c r="J88" s="236"/>
      <c r="K88" s="232"/>
    </row>
    <row r="89" spans="1:11" s="233" customFormat="1">
      <c r="A89" s="170" t="s">
        <v>1824</v>
      </c>
      <c r="B89" s="234">
        <f>'Sources and Uses Budget'!C89</f>
        <v>0</v>
      </c>
      <c r="C89" s="235"/>
      <c r="D89" s="235"/>
      <c r="E89" s="234">
        <f>'Sources and Uses Budget'!S89</f>
        <v>0</v>
      </c>
      <c r="F89" s="235"/>
      <c r="G89" s="235"/>
      <c r="H89" s="234">
        <f>'Sources and Uses Budget'!T89</f>
        <v>0</v>
      </c>
      <c r="I89" s="235"/>
      <c r="J89" s="235"/>
      <c r="K89" s="232"/>
    </row>
    <row r="90" spans="1:11" s="233" customFormat="1">
      <c r="A90" s="170" t="s">
        <v>1825</v>
      </c>
      <c r="B90" s="234">
        <f>'Sources and Uses Budget'!C90</f>
        <v>15000</v>
      </c>
      <c r="C90" s="235">
        <f>B90</f>
        <v>15000</v>
      </c>
      <c r="D90" s="235"/>
      <c r="E90" s="234">
        <f>'Sources and Uses Budget'!S90</f>
        <v>15000</v>
      </c>
      <c r="F90" s="235">
        <f>E90</f>
        <v>15000</v>
      </c>
      <c r="G90" s="235"/>
      <c r="H90" s="234">
        <f>'Sources and Uses Budget'!T90</f>
        <v>0</v>
      </c>
      <c r="I90" s="235"/>
      <c r="J90" s="235"/>
      <c r="K90" s="232"/>
    </row>
    <row r="91" spans="1:11" s="233" customFormat="1">
      <c r="A91" s="360" t="s">
        <v>1826</v>
      </c>
      <c r="B91" s="234">
        <f>'Sources and Uses Budget'!C91</f>
        <v>50000</v>
      </c>
      <c r="C91" s="235">
        <f t="shared" ref="C91:C94" si="7">B91</f>
        <v>50000</v>
      </c>
      <c r="D91" s="235"/>
      <c r="E91" s="234">
        <f>'Sources and Uses Budget'!S91</f>
        <v>50000</v>
      </c>
      <c r="F91" s="235">
        <f t="shared" ref="F91:F94" si="8">E91</f>
        <v>50000</v>
      </c>
      <c r="G91" s="235"/>
      <c r="H91" s="234">
        <f>'Sources and Uses Budget'!T91</f>
        <v>0</v>
      </c>
      <c r="I91" s="235"/>
      <c r="J91" s="235"/>
      <c r="K91" s="232"/>
    </row>
    <row r="92" spans="1:11" s="233" customFormat="1">
      <c r="A92" s="360" t="s">
        <v>1827</v>
      </c>
      <c r="B92" s="234">
        <f>'Sources and Uses Budget'!C92</f>
        <v>20000</v>
      </c>
      <c r="C92" s="235">
        <f t="shared" si="7"/>
        <v>20000</v>
      </c>
      <c r="D92" s="235"/>
      <c r="E92" s="234">
        <f>'Sources and Uses Budget'!S92</f>
        <v>20000</v>
      </c>
      <c r="F92" s="235">
        <f t="shared" si="8"/>
        <v>20000</v>
      </c>
      <c r="G92" s="235"/>
      <c r="H92" s="234">
        <f>'Sources and Uses Budget'!T92</f>
        <v>0</v>
      </c>
      <c r="I92" s="235"/>
      <c r="J92" s="235"/>
      <c r="K92" s="232"/>
    </row>
    <row r="93" spans="1:11" s="233" customFormat="1" ht="23">
      <c r="A93" s="237" t="str">
        <f>'Sources and Uses Budget'!$A93</f>
        <v>Other: Prevailing wage monitoring, Misc Third Party Cost, Pre Dev Loan Interest</v>
      </c>
      <c r="B93" s="234">
        <f>'Sources and Uses Budget'!C93</f>
        <v>342000</v>
      </c>
      <c r="C93" s="235">
        <f t="shared" si="7"/>
        <v>342000</v>
      </c>
      <c r="D93" s="235"/>
      <c r="E93" s="234">
        <f>'Sources and Uses Budget'!S93</f>
        <v>342000</v>
      </c>
      <c r="F93" s="235">
        <f t="shared" si="8"/>
        <v>342000</v>
      </c>
      <c r="G93" s="235"/>
      <c r="H93" s="234">
        <f>'Sources and Uses Budget'!T93</f>
        <v>0</v>
      </c>
      <c r="I93" s="235"/>
      <c r="J93" s="235"/>
      <c r="K93" s="232"/>
    </row>
    <row r="94" spans="1:11" s="233" customFormat="1">
      <c r="A94" s="237" t="str">
        <f>'Sources and Uses Budget'!$A94</f>
        <v>Other: CDLAC Fee</v>
      </c>
      <c r="B94" s="234">
        <f>'Sources and Uses Budget'!C94</f>
        <v>7598</v>
      </c>
      <c r="C94" s="235">
        <f t="shared" si="7"/>
        <v>7598</v>
      </c>
      <c r="D94" s="235"/>
      <c r="E94" s="234">
        <f>'Sources and Uses Budget'!S94</f>
        <v>7598</v>
      </c>
      <c r="F94" s="235">
        <f t="shared" si="8"/>
        <v>7598</v>
      </c>
      <c r="G94" s="235"/>
      <c r="H94" s="234">
        <f>'Sources and Uses Budget'!T94</f>
        <v>0</v>
      </c>
      <c r="I94" s="235"/>
      <c r="J94" s="235"/>
      <c r="K94" s="232"/>
    </row>
    <row r="95" spans="1:11" s="233" customFormat="1">
      <c r="A95" s="237" t="str">
        <f>'Sources and Uses Budget'!$A95</f>
        <v>Other: (Specify)</v>
      </c>
      <c r="B95" s="234">
        <f>'Sources and Uses Budget'!C95</f>
        <v>0</v>
      </c>
      <c r="C95" s="235"/>
      <c r="D95" s="235"/>
      <c r="E95" s="234">
        <f>'Sources and Uses Budget'!S95</f>
        <v>0</v>
      </c>
      <c r="F95" s="235"/>
      <c r="G95" s="235"/>
      <c r="H95" s="234">
        <f>'Sources and Uses Budget'!T95</f>
        <v>0</v>
      </c>
      <c r="I95" s="235"/>
      <c r="J95" s="235"/>
      <c r="K95" s="232"/>
    </row>
    <row r="96" spans="1:11" s="233" customFormat="1">
      <c r="A96" s="238" t="s">
        <v>1830</v>
      </c>
      <c r="B96" s="234">
        <f>'Sources and Uses Budget'!C96</f>
        <v>3458960</v>
      </c>
      <c r="C96" s="234">
        <f>SUM(C83:C95)</f>
        <v>3458960</v>
      </c>
      <c r="D96" s="234">
        <f>SUM(D83:D95)</f>
        <v>0</v>
      </c>
      <c r="E96" s="234">
        <f>'Sources and Uses Budget'!S96</f>
        <v>3399599</v>
      </c>
      <c r="F96" s="240">
        <f>SUM(F84:F87,F89:F95)</f>
        <v>3399599</v>
      </c>
      <c r="G96" s="240">
        <f>SUM(G84:G87,G89:G95)</f>
        <v>0</v>
      </c>
      <c r="H96" s="234">
        <f>'Sources and Uses Budget'!T96</f>
        <v>0</v>
      </c>
      <c r="I96" s="234">
        <f>SUM(I84:I87,I89:I95)</f>
        <v>0</v>
      </c>
      <c r="J96" s="234">
        <f>SUM(J84:J87,J89:J95)</f>
        <v>0</v>
      </c>
      <c r="K96" s="232"/>
    </row>
    <row r="97" spans="1:11" s="233" customFormat="1">
      <c r="A97" s="238" t="s">
        <v>1884</v>
      </c>
      <c r="B97" s="234">
        <f>'Sources and Uses Budget'!C97</f>
        <v>37838320</v>
      </c>
      <c r="C97" s="234">
        <f>SUM(C63+C70+C77+C81+C96)</f>
        <v>37838320</v>
      </c>
      <c r="D97" s="234">
        <f>SUM(D63+D70+D77+D81+D96)</f>
        <v>0</v>
      </c>
      <c r="E97" s="234">
        <f>'Sources and Uses Budget'!S97</f>
        <v>35051054</v>
      </c>
      <c r="F97" s="240">
        <f>SUM(+F63+F70+F81+F96)</f>
        <v>35051054</v>
      </c>
      <c r="G97" s="240">
        <f>SUM(+G63+G70+G81+G96)</f>
        <v>0</v>
      </c>
      <c r="H97" s="234">
        <f>'Sources and Uses Budget'!T97</f>
        <v>0</v>
      </c>
      <c r="I97" s="240">
        <f>SUM(I63+I70+I81+I96)</f>
        <v>0</v>
      </c>
      <c r="J97" s="240">
        <f>SUM(J63+J70+J81+J96)</f>
        <v>0</v>
      </c>
      <c r="K97" s="232"/>
    </row>
    <row r="98" spans="1:11" s="233" customFormat="1" ht="12">
      <c r="A98" s="230" t="s">
        <v>1832</v>
      </c>
      <c r="B98" s="231"/>
      <c r="C98" s="231"/>
      <c r="D98" s="231"/>
      <c r="E98" s="231"/>
      <c r="F98" s="231"/>
      <c r="G98" s="231"/>
      <c r="H98" s="231"/>
      <c r="I98" s="231"/>
      <c r="J98" s="231"/>
      <c r="K98" s="232"/>
    </row>
    <row r="99" spans="1:11" s="233" customFormat="1">
      <c r="A99" s="170" t="s">
        <v>1833</v>
      </c>
      <c r="B99" s="234">
        <f>'Sources and Uses Budget'!C99</f>
        <v>5257657</v>
      </c>
      <c r="C99" s="235">
        <f>B99</f>
        <v>5257657</v>
      </c>
      <c r="D99" s="235"/>
      <c r="E99" s="234">
        <f>'Sources and Uses Budget'!S99</f>
        <v>5257657</v>
      </c>
      <c r="F99" s="235">
        <f>E99</f>
        <v>5257657</v>
      </c>
      <c r="G99" s="235"/>
      <c r="H99" s="234">
        <f>'Sources and Uses Budget'!T99</f>
        <v>0</v>
      </c>
      <c r="I99" s="235"/>
      <c r="J99" s="235"/>
      <c r="K99" s="232"/>
    </row>
    <row r="100" spans="1:11" s="233" customFormat="1">
      <c r="A100" s="170" t="s">
        <v>1834</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c r="A101" s="170" t="s">
        <v>1835</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1836</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1837</v>
      </c>
      <c r="B104" s="234">
        <f>'Sources and Uses Budget'!C104</f>
        <v>5257657</v>
      </c>
      <c r="C104" s="234">
        <f>SUM(C99:C103)</f>
        <v>5257657</v>
      </c>
      <c r="D104" s="234">
        <f>SUM(D99:D103)</f>
        <v>0</v>
      </c>
      <c r="E104" s="234">
        <f>'Sources and Uses Budget'!S104</f>
        <v>5257657</v>
      </c>
      <c r="F104" s="240">
        <f>SUM(F99:F103)</f>
        <v>5257657</v>
      </c>
      <c r="G104" s="240">
        <f>SUM(G99:G103)</f>
        <v>0</v>
      </c>
      <c r="H104" s="234">
        <f>'Sources and Uses Budget'!T104</f>
        <v>0</v>
      </c>
      <c r="I104" s="240">
        <f>SUM(I99:I103)</f>
        <v>0</v>
      </c>
      <c r="J104" s="240">
        <f>SUM(J99:J103)</f>
        <v>0</v>
      </c>
      <c r="K104" s="232"/>
    </row>
    <row r="105" spans="1:11" s="233" customFormat="1">
      <c r="A105" s="238" t="s">
        <v>1885</v>
      </c>
      <c r="B105" s="234">
        <f>'Sources and Uses Budget'!C105</f>
        <v>43095977</v>
      </c>
      <c r="C105" s="240">
        <f>SUM(C97+C104)</f>
        <v>43095977</v>
      </c>
      <c r="D105" s="240">
        <f>SUM(D97+D104)</f>
        <v>0</v>
      </c>
      <c r="E105" s="234">
        <f>'Sources and Uses Budget'!S105</f>
        <v>40308711</v>
      </c>
      <c r="F105" s="240">
        <f>F97+F104</f>
        <v>40308711</v>
      </c>
      <c r="G105" s="240">
        <f>G97+G104</f>
        <v>0</v>
      </c>
      <c r="H105" s="234">
        <f>'Sources and Uses Budget'!T105</f>
        <v>0</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1886</v>
      </c>
      <c r="E107" s="234">
        <f>'Sources and Uses Budget'!S107</f>
        <v>40308711</v>
      </c>
      <c r="F107" s="240">
        <f>F105+F106</f>
        <v>40308711</v>
      </c>
      <c r="G107" s="240">
        <f>G105+G106</f>
        <v>0</v>
      </c>
      <c r="H107" s="234">
        <f>'Sources and Uses Budget'!T107</f>
        <v>0</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3">
      <c r="A111" s="250"/>
      <c r="B111" s="248"/>
      <c r="C111" s="248"/>
      <c r="D111" s="248"/>
      <c r="J111" s="249"/>
      <c r="K111" s="232"/>
    </row>
    <row r="112" spans="1:11" s="233" customFormat="1" ht="13">
      <c r="A112" s="250"/>
      <c r="B112" s="248"/>
      <c r="C112" s="248"/>
      <c r="D112" s="248"/>
      <c r="J112" s="249"/>
      <c r="K112" s="232"/>
    </row>
    <row r="113" spans="1:11" s="233" customFormat="1" ht="15">
      <c r="A113" s="251"/>
      <c r="B113" s="248"/>
      <c r="C113" s="248"/>
      <c r="D113" s="248"/>
      <c r="J113" s="249"/>
      <c r="K113" s="232"/>
    </row>
    <row r="114" spans="1:11" s="233" customFormat="1" ht="13">
      <c r="A114" s="250"/>
      <c r="J114" s="249"/>
      <c r="K114" s="232"/>
    </row>
    <row r="115" spans="1:11" s="233" customFormat="1" ht="15">
      <c r="A115" s="251"/>
      <c r="J115" s="249"/>
      <c r="K115" s="232"/>
    </row>
    <row r="116" spans="1:11" s="233" customFormat="1" ht="15">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5">
      <c r="A121" s="251"/>
      <c r="J121" s="249"/>
      <c r="K121" s="232"/>
    </row>
    <row r="122" spans="1:11" s="253" customFormat="1" ht="15.5">
      <c r="A122" s="252"/>
      <c r="J122" s="254"/>
      <c r="K122" s="255"/>
    </row>
    <row r="123" spans="1:11" s="233" customFormat="1">
      <c r="A123" s="256"/>
      <c r="J123" s="249"/>
      <c r="K123" s="232"/>
    </row>
    <row r="124" spans="1:11" s="233" customFormat="1">
      <c r="B124" s="257"/>
      <c r="D124" s="1798"/>
      <c r="E124" s="1273"/>
      <c r="F124" s="1273"/>
      <c r="G124" s="1273"/>
      <c r="H124" s="1273"/>
      <c r="I124" s="1273"/>
      <c r="J124" s="249"/>
      <c r="K124" s="232"/>
    </row>
    <row r="125" spans="1:11" s="233" customFormat="1" ht="12.5">
      <c r="A125" s="1138"/>
      <c r="B125" s="257"/>
      <c r="C125" s="1138"/>
      <c r="D125" s="1273"/>
      <c r="E125" s="1273"/>
      <c r="F125" s="1273"/>
      <c r="G125" s="1273"/>
      <c r="H125" s="1273"/>
      <c r="I125" s="1273"/>
      <c r="J125" s="249"/>
      <c r="K125" s="232"/>
    </row>
    <row r="126" spans="1:11" s="233" customFormat="1" ht="12.5">
      <c r="A126" s="1138"/>
      <c r="B126" s="257"/>
      <c r="C126" s="1138"/>
      <c r="D126" s="1273"/>
      <c r="E126" s="1273"/>
      <c r="F126" s="1273"/>
      <c r="G126" s="1273"/>
      <c r="H126" s="1273"/>
      <c r="I126" s="1273"/>
      <c r="J126" s="249"/>
      <c r="K126" s="232"/>
    </row>
    <row r="127" spans="1:11" s="233" customFormat="1" ht="12.5">
      <c r="A127" s="1138"/>
      <c r="B127" s="257"/>
      <c r="C127" s="1138"/>
      <c r="D127" s="258"/>
      <c r="E127" s="1138"/>
      <c r="F127" s="1138"/>
      <c r="G127" s="1138"/>
      <c r="J127" s="249"/>
      <c r="K127" s="232"/>
    </row>
    <row r="128" spans="1:11" s="233" customFormat="1" ht="12.5">
      <c r="A128" s="1138"/>
      <c r="B128" s="257"/>
      <c r="C128" s="1138"/>
      <c r="D128" s="258"/>
      <c r="E128" s="1138"/>
      <c r="F128" s="1138"/>
      <c r="G128" s="1138"/>
      <c r="J128" s="249"/>
      <c r="K128" s="232"/>
    </row>
    <row r="129" spans="1:11" s="233" customFormat="1" ht="12.5">
      <c r="A129" s="1138"/>
      <c r="B129" s="257"/>
      <c r="C129" s="1138"/>
      <c r="D129" s="1138"/>
      <c r="E129" s="1138"/>
      <c r="F129" s="1138"/>
      <c r="G129" s="1138"/>
      <c r="J129" s="249"/>
      <c r="K129" s="232"/>
    </row>
    <row r="130" spans="1:11" s="233" customFormat="1" ht="12.5">
      <c r="A130" s="1138"/>
      <c r="B130" s="257"/>
      <c r="C130" s="1138"/>
      <c r="D130" s="1138"/>
      <c r="E130" s="1138"/>
      <c r="F130" s="1138"/>
      <c r="G130" s="1138"/>
      <c r="J130" s="249"/>
      <c r="K130" s="232"/>
    </row>
    <row r="131" spans="1:11" s="233" customFormat="1" ht="12.5">
      <c r="A131" s="1138"/>
      <c r="B131" s="259"/>
      <c r="C131" s="1138"/>
      <c r="D131" s="1138"/>
      <c r="E131" s="1138"/>
      <c r="F131" s="1138"/>
      <c r="G131" s="1138"/>
      <c r="J131" s="249"/>
      <c r="K131" s="232"/>
    </row>
    <row r="132" spans="1:11" s="233" customFormat="1" ht="13">
      <c r="A132" s="260"/>
      <c r="B132" s="261"/>
      <c r="C132" s="1138"/>
      <c r="D132" s="262"/>
      <c r="E132" s="1138"/>
      <c r="F132" s="1138"/>
      <c r="G132" s="1138"/>
      <c r="J132" s="249"/>
      <c r="K132" s="232"/>
    </row>
    <row r="133" spans="1:11" s="233" customFormat="1" ht="12.5">
      <c r="A133" s="1181"/>
      <c r="B133" s="1138"/>
      <c r="C133" s="1138"/>
      <c r="D133" s="1138"/>
      <c r="E133" s="1138"/>
      <c r="F133" s="1138"/>
      <c r="G133" s="1138"/>
      <c r="J133" s="249"/>
      <c r="K133" s="232"/>
    </row>
    <row r="134" spans="1:11" s="233" customFormat="1" ht="12.5">
      <c r="A134" s="1181"/>
      <c r="B134" s="1138"/>
      <c r="C134" s="1138"/>
      <c r="D134" s="1138"/>
      <c r="E134" s="1138"/>
      <c r="F134" s="1138"/>
      <c r="G134" s="1138"/>
      <c r="J134" s="249"/>
      <c r="K134" s="232"/>
    </row>
    <row r="135" spans="1:11" s="233" customFormat="1" ht="12.5">
      <c r="A135" s="1134"/>
      <c r="B135" s="1138"/>
      <c r="C135" s="1138"/>
      <c r="D135" s="1138"/>
      <c r="E135" s="1138"/>
      <c r="F135" s="1138"/>
      <c r="G135" s="1138"/>
      <c r="J135" s="249"/>
      <c r="K135" s="232"/>
    </row>
    <row r="136" spans="1:11" s="233" customFormat="1" ht="13">
      <c r="A136" s="250"/>
      <c r="B136" s="1138"/>
      <c r="C136" s="1138"/>
      <c r="D136" s="1138"/>
      <c r="E136" s="1138"/>
      <c r="F136" s="1138"/>
      <c r="G136" s="1138"/>
      <c r="J136" s="249"/>
      <c r="K136" s="232"/>
    </row>
    <row r="137" spans="1:11" ht="12.5">
      <c r="A137" s="1181"/>
      <c r="B137" s="1138"/>
      <c r="C137" s="1138"/>
      <c r="D137" s="1138"/>
      <c r="E137" s="1138"/>
      <c r="F137" s="1138"/>
      <c r="G137" s="1138"/>
    </row>
    <row r="138" spans="1:11" ht="12" customHeight="1">
      <c r="A138" s="1181"/>
      <c r="B138" s="1138"/>
      <c r="C138" s="1138"/>
      <c r="D138" s="1138"/>
      <c r="E138" s="1138"/>
      <c r="F138" s="1138"/>
      <c r="G138" s="1138"/>
    </row>
    <row r="139" spans="1:11" ht="12" customHeight="1">
      <c r="A139" s="1799"/>
      <c r="B139" s="1273"/>
      <c r="C139" s="1273"/>
      <c r="D139" s="229"/>
      <c r="E139" s="1138"/>
      <c r="F139" s="1138"/>
      <c r="G139" s="1138"/>
    </row>
    <row r="140" spans="1:11" ht="12" customHeight="1">
      <c r="A140" s="1244"/>
      <c r="B140" s="1244"/>
      <c r="C140" s="1244"/>
      <c r="D140" s="229"/>
      <c r="E140" s="1138"/>
      <c r="F140" s="1138"/>
      <c r="G140" s="1138"/>
    </row>
    <row r="141" spans="1:11" ht="12" customHeight="1">
      <c r="A141" s="1181"/>
      <c r="B141" s="1138"/>
      <c r="C141" s="1138"/>
      <c r="D141" s="229"/>
      <c r="E141" s="1138"/>
      <c r="F141" s="1138"/>
      <c r="G141" s="1138"/>
      <c r="H141" s="264"/>
      <c r="I141" s="264"/>
    </row>
    <row r="142" spans="1:11" ht="12" customHeight="1">
      <c r="A142" s="266"/>
      <c r="B142" s="229"/>
      <c r="C142" s="229"/>
      <c r="D142" s="229"/>
      <c r="E142" s="1138"/>
      <c r="F142" s="1138"/>
      <c r="G142" s="1138"/>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968"/>
    <col min="9" max="9" width="7.7265625" style="968" customWidth="1"/>
    <col min="10" max="13" width="2.7265625" style="968"/>
    <col min="14" max="14" width="4.7265625" style="968" customWidth="1"/>
    <col min="15" max="19" width="2.7265625" style="968"/>
    <col min="20" max="20" width="3.7265625" style="968" customWidth="1"/>
    <col min="21" max="37" width="2.7265625" style="968"/>
    <col min="38" max="38" width="3" style="968" customWidth="1"/>
    <col min="39" max="45" width="2.7265625" style="968"/>
    <col min="46" max="46" width="4.7265625" style="968" customWidth="1"/>
    <col min="47" max="64" width="2.7265625" style="968"/>
    <col min="65" max="65" width="10.453125" style="968" hidden="1" customWidth="1"/>
    <col min="66" max="66" width="5.453125" style="968" bestFit="1" customWidth="1"/>
    <col min="67" max="68" width="5.453125" style="968" hidden="1" customWidth="1"/>
    <col min="69" max="69" width="8" style="968" hidden="1" customWidth="1"/>
    <col min="70" max="70" width="6" style="968" hidden="1" customWidth="1"/>
    <col min="71" max="71" width="6.1796875" style="968" hidden="1" customWidth="1"/>
    <col min="72" max="76" width="5.453125" style="968" hidden="1" customWidth="1"/>
    <col min="77" max="77" width="6.1796875" style="968" bestFit="1" customWidth="1"/>
    <col min="78" max="78" width="5.453125" style="968" bestFit="1" customWidth="1"/>
    <col min="79" max="16384" width="2.7265625" style="968"/>
  </cols>
  <sheetData>
    <row r="1" spans="1:65" ht="15.75" customHeight="1">
      <c r="A1" s="1811" t="s">
        <v>1887</v>
      </c>
      <c r="B1" s="1812"/>
      <c r="C1" s="1812"/>
      <c r="D1" s="1812"/>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2"/>
      <c r="AM1" s="1812"/>
      <c r="AN1" s="1812"/>
      <c r="AO1" s="1812"/>
      <c r="AP1" s="1812"/>
      <c r="AQ1" s="1812"/>
      <c r="AR1" s="1812"/>
      <c r="AS1" s="1812"/>
      <c r="AT1" s="1812"/>
      <c r="AU1" s="1812"/>
      <c r="AV1" s="1812"/>
      <c r="AW1" s="1812"/>
      <c r="AX1" s="1812"/>
      <c r="AY1" s="1812"/>
      <c r="AZ1" s="1812"/>
      <c r="BA1" s="1812"/>
      <c r="BB1" s="1812"/>
      <c r="BC1" s="1812"/>
      <c r="BD1" s="1812"/>
      <c r="BE1" s="1813"/>
    </row>
    <row r="2" spans="1:65" ht="15.75" customHeight="1">
      <c r="A2" s="1814" t="s">
        <v>1888</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c r="AT2" s="1815"/>
      <c r="AU2" s="1815"/>
      <c r="AV2" s="1815"/>
      <c r="AW2" s="1815"/>
      <c r="AX2" s="1815"/>
      <c r="AY2" s="1815"/>
      <c r="AZ2" s="1815"/>
      <c r="BA2" s="1815"/>
      <c r="BB2" s="1815"/>
      <c r="BC2" s="1815"/>
      <c r="BD2" s="1815"/>
      <c r="BE2" s="1816"/>
      <c r="BF2" s="969"/>
    </row>
    <row r="3" spans="1:65" ht="15.75" customHeight="1" thickBot="1">
      <c r="A3" s="970"/>
      <c r="B3" s="971"/>
      <c r="C3" s="971"/>
      <c r="D3" s="971"/>
      <c r="E3" s="971"/>
      <c r="F3" s="971"/>
      <c r="G3" s="971"/>
      <c r="H3" s="971"/>
      <c r="I3" s="971"/>
      <c r="J3" s="971"/>
      <c r="K3" s="971"/>
      <c r="L3" s="971"/>
      <c r="M3" s="971"/>
      <c r="N3" s="971"/>
      <c r="O3" s="971"/>
      <c r="P3" s="971"/>
      <c r="Q3" s="971"/>
      <c r="R3" s="971"/>
      <c r="S3" s="971"/>
      <c r="T3" s="971"/>
      <c r="U3" s="971"/>
      <c r="V3" s="971"/>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971"/>
      <c r="AZ3" s="971"/>
      <c r="BA3" s="971"/>
      <c r="BB3" s="971"/>
      <c r="BC3" s="971"/>
      <c r="BD3" s="971"/>
      <c r="BE3" s="1182"/>
    </row>
    <row r="4" spans="1:65" ht="15.75" customHeight="1" thickBot="1">
      <c r="A4" s="970"/>
      <c r="B4" s="972" t="s">
        <v>77</v>
      </c>
      <c r="C4" s="972"/>
      <c r="D4" s="972"/>
      <c r="E4" s="972"/>
      <c r="F4" s="972"/>
      <c r="G4" s="971"/>
      <c r="H4" s="971"/>
      <c r="I4" s="971"/>
      <c r="J4" s="971"/>
      <c r="K4" s="971"/>
      <c r="L4" s="1803" t="str">
        <f>IF(Application!H18="","",Application!H18)</f>
        <v>Baler Place</v>
      </c>
      <c r="M4" s="1804"/>
      <c r="N4" s="1804"/>
      <c r="O4" s="1804"/>
      <c r="P4" s="1804"/>
      <c r="Q4" s="1804"/>
      <c r="R4" s="1804"/>
      <c r="S4" s="1804"/>
      <c r="T4" s="1804"/>
      <c r="U4" s="1804"/>
      <c r="V4" s="1804"/>
      <c r="W4" s="1804"/>
      <c r="X4" s="1804"/>
      <c r="Y4" s="1804"/>
      <c r="Z4" s="1804"/>
      <c r="AA4" s="1804"/>
      <c r="AB4" s="1804"/>
      <c r="AC4" s="1805"/>
      <c r="AD4" s="971"/>
      <c r="AE4" s="971"/>
      <c r="AF4" s="1817" t="s">
        <v>1889</v>
      </c>
      <c r="AG4" s="1817"/>
      <c r="AH4" s="1817"/>
      <c r="AI4" s="1817"/>
      <c r="AJ4" s="1817"/>
      <c r="AK4" s="1817"/>
      <c r="AL4" s="1817"/>
      <c r="AM4" s="1817"/>
      <c r="AN4" s="1817"/>
      <c r="AO4" s="1817"/>
      <c r="AP4" s="1818"/>
      <c r="AQ4" s="1819"/>
      <c r="AR4" s="1819"/>
      <c r="AS4" s="1819"/>
      <c r="AT4" s="1819"/>
      <c r="AU4" s="1819"/>
      <c r="AV4" s="971"/>
      <c r="AW4" s="971"/>
      <c r="AX4" s="971"/>
      <c r="AY4" s="971"/>
      <c r="AZ4" s="971"/>
      <c r="BA4" s="971"/>
      <c r="BB4" s="971"/>
      <c r="BC4" s="971"/>
      <c r="BD4" s="971"/>
      <c r="BE4" s="1182"/>
    </row>
    <row r="5" spans="1:65" ht="15.75" customHeight="1" thickBot="1">
      <c r="A5" s="970"/>
      <c r="B5" s="971"/>
      <c r="C5" s="971"/>
      <c r="D5" s="971"/>
      <c r="E5" s="971"/>
      <c r="F5" s="971"/>
      <c r="G5" s="971"/>
      <c r="H5" s="971"/>
      <c r="I5" s="971"/>
      <c r="J5" s="971"/>
      <c r="K5" s="971"/>
      <c r="L5" s="971"/>
      <c r="M5" s="971"/>
      <c r="N5" s="971"/>
      <c r="O5" s="971"/>
      <c r="P5" s="971"/>
      <c r="Q5" s="971"/>
      <c r="R5" s="971"/>
      <c r="S5" s="971"/>
      <c r="T5" s="971"/>
      <c r="U5" s="971"/>
      <c r="V5" s="971"/>
      <c r="W5" s="971"/>
      <c r="X5" s="971"/>
      <c r="Y5" s="971"/>
      <c r="Z5" s="971"/>
      <c r="AA5" s="971"/>
      <c r="AB5" s="971"/>
      <c r="AC5" s="971"/>
      <c r="AD5" s="971"/>
      <c r="AE5" s="971"/>
      <c r="AF5" s="1817" t="s">
        <v>1890</v>
      </c>
      <c r="AG5" s="1817"/>
      <c r="AH5" s="1817"/>
      <c r="AI5" s="1817"/>
      <c r="AJ5" s="1817"/>
      <c r="AK5" s="1817"/>
      <c r="AL5" s="1817"/>
      <c r="AM5" s="1817"/>
      <c r="AN5" s="1817"/>
      <c r="AO5" s="1817"/>
      <c r="AP5" s="1818"/>
      <c r="AQ5" s="1819"/>
      <c r="AR5" s="1819"/>
      <c r="AS5" s="1819"/>
      <c r="AT5" s="1819"/>
      <c r="AU5" s="1819"/>
      <c r="AV5" s="971"/>
      <c r="AW5" s="971"/>
      <c r="AX5" s="971"/>
      <c r="AY5" s="971"/>
      <c r="AZ5" s="971"/>
      <c r="BA5" s="971"/>
      <c r="BB5" s="971"/>
      <c r="BC5" s="971"/>
      <c r="BD5" s="971"/>
      <c r="BE5" s="1182"/>
    </row>
    <row r="6" spans="1:65" ht="15.75" customHeight="1" thickBot="1">
      <c r="A6" s="970"/>
      <c r="B6" s="972" t="s">
        <v>1891</v>
      </c>
      <c r="C6" s="971"/>
      <c r="D6" s="971"/>
      <c r="E6" s="971"/>
      <c r="F6" s="971"/>
      <c r="G6" s="971"/>
      <c r="H6" s="971"/>
      <c r="I6" s="971"/>
      <c r="J6" s="971"/>
      <c r="K6" s="971"/>
      <c r="L6" s="1803" t="str">
        <f>IF(Application!H16="","",Application!H16)</f>
        <v>CRP Baler Place LP</v>
      </c>
      <c r="M6" s="1804"/>
      <c r="N6" s="1804"/>
      <c r="O6" s="1804"/>
      <c r="P6" s="1804"/>
      <c r="Q6" s="1804"/>
      <c r="R6" s="1804"/>
      <c r="S6" s="1804"/>
      <c r="T6" s="1804"/>
      <c r="U6" s="1804"/>
      <c r="V6" s="1804"/>
      <c r="W6" s="1804"/>
      <c r="X6" s="1804"/>
      <c r="Y6" s="1804"/>
      <c r="Z6" s="1804"/>
      <c r="AA6" s="1804"/>
      <c r="AB6" s="1804"/>
      <c r="AC6" s="1805"/>
      <c r="AD6" s="971"/>
      <c r="AE6" s="971"/>
      <c r="AF6" s="1806" t="s">
        <v>1892</v>
      </c>
      <c r="AG6" s="1806"/>
      <c r="AH6" s="1806"/>
      <c r="AI6" s="1806"/>
      <c r="AJ6" s="1806"/>
      <c r="AK6" s="1806"/>
      <c r="AL6" s="1806"/>
      <c r="AM6" s="1806"/>
      <c r="AN6" s="1806"/>
      <c r="AO6" s="1806"/>
      <c r="AP6" s="1807"/>
      <c r="AQ6" s="1807"/>
      <c r="AR6" s="1807"/>
      <c r="AS6" s="1807"/>
      <c r="AT6" s="1807"/>
      <c r="AU6" s="1807"/>
      <c r="AV6" s="971"/>
      <c r="AW6" s="971"/>
      <c r="AX6" s="971"/>
      <c r="AY6" s="971"/>
      <c r="AZ6" s="971"/>
      <c r="BA6" s="971"/>
      <c r="BB6" s="971"/>
      <c r="BC6" s="971"/>
      <c r="BD6" s="971"/>
      <c r="BE6" s="1182"/>
    </row>
    <row r="7" spans="1:65" ht="15" thickBot="1">
      <c r="A7" s="970"/>
      <c r="B7" s="971"/>
      <c r="C7" s="971"/>
      <c r="D7" s="971"/>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1806" t="s">
        <v>1893</v>
      </c>
      <c r="AG7" s="1806"/>
      <c r="AH7" s="1806"/>
      <c r="AI7" s="1806"/>
      <c r="AJ7" s="1806"/>
      <c r="AK7" s="1806"/>
      <c r="AL7" s="1806"/>
      <c r="AM7" s="1806"/>
      <c r="AN7" s="1806"/>
      <c r="AO7" s="1806"/>
      <c r="AP7" s="1807"/>
      <c r="AQ7" s="1807"/>
      <c r="AR7" s="1807"/>
      <c r="AS7" s="1807"/>
      <c r="AT7" s="1807"/>
      <c r="AU7" s="1807"/>
      <c r="AV7" s="971"/>
      <c r="AW7" s="971"/>
      <c r="AX7" s="971"/>
      <c r="AY7" s="971"/>
      <c r="AZ7" s="971"/>
      <c r="BA7" s="971"/>
      <c r="BB7" s="971"/>
      <c r="BC7" s="971"/>
      <c r="BD7" s="971"/>
      <c r="BE7" s="1182"/>
    </row>
    <row r="8" spans="1:65" ht="15" thickBot="1">
      <c r="A8" s="970"/>
      <c r="B8" s="972" t="s">
        <v>1894</v>
      </c>
      <c r="C8" s="971"/>
      <c r="D8" s="971"/>
      <c r="E8" s="971"/>
      <c r="F8" s="971"/>
      <c r="G8" s="971"/>
      <c r="H8" s="971"/>
      <c r="I8" s="971"/>
      <c r="J8" s="971"/>
      <c r="K8" s="971"/>
      <c r="L8" s="971"/>
      <c r="M8" s="971"/>
      <c r="N8" s="971"/>
      <c r="O8" s="971"/>
      <c r="P8" s="971"/>
      <c r="Q8" s="971"/>
      <c r="R8" s="971"/>
      <c r="S8" s="971"/>
      <c r="T8" s="971"/>
      <c r="U8" s="971"/>
      <c r="V8" s="971"/>
      <c r="W8" s="971"/>
      <c r="X8" s="971"/>
      <c r="Y8" s="971"/>
      <c r="Z8" s="971"/>
      <c r="AA8" s="971"/>
      <c r="AB8" s="1808" t="str">
        <f>Application!T197</f>
        <v>No</v>
      </c>
      <c r="AC8" s="1809"/>
      <c r="AD8" s="1810"/>
      <c r="AE8" s="971"/>
      <c r="AF8" s="1806" t="s">
        <v>1895</v>
      </c>
      <c r="AG8" s="1806"/>
      <c r="AH8" s="1806"/>
      <c r="AI8" s="1806"/>
      <c r="AJ8" s="1806"/>
      <c r="AK8" s="1806"/>
      <c r="AL8" s="1806"/>
      <c r="AM8" s="1806"/>
      <c r="AN8" s="1806"/>
      <c r="AO8" s="1806"/>
      <c r="AP8" s="1807" t="s">
        <v>686</v>
      </c>
      <c r="AQ8" s="1807"/>
      <c r="AR8" s="1807"/>
      <c r="AS8" s="1807"/>
      <c r="AT8" s="1807"/>
      <c r="AU8" s="1807"/>
      <c r="AV8" s="971"/>
      <c r="AW8" s="971"/>
      <c r="AX8" s="971"/>
      <c r="AY8" s="971"/>
      <c r="AZ8" s="971"/>
      <c r="BA8" s="971"/>
      <c r="BB8" s="971"/>
      <c r="BC8" s="971"/>
      <c r="BD8" s="971"/>
      <c r="BE8" s="1182"/>
      <c r="BM8" s="968" t="s">
        <v>1896</v>
      </c>
    </row>
    <row r="9" spans="1:65" ht="14.5">
      <c r="A9" s="971"/>
      <c r="B9" s="971"/>
      <c r="C9" s="971"/>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1817" t="s">
        <v>1897</v>
      </c>
      <c r="AG9" s="1817"/>
      <c r="AH9" s="1817"/>
      <c r="AI9" s="1817"/>
      <c r="AJ9" s="1817"/>
      <c r="AK9" s="1817"/>
      <c r="AL9" s="1817"/>
      <c r="AM9" s="1817"/>
      <c r="AN9" s="1817"/>
      <c r="AO9" s="1817"/>
      <c r="AP9" s="1818"/>
      <c r="AQ9" s="1819"/>
      <c r="AR9" s="1819"/>
      <c r="AS9" s="1819"/>
      <c r="AT9" s="1819"/>
      <c r="AU9" s="1819"/>
      <c r="AV9" s="971"/>
      <c r="AW9" s="971"/>
      <c r="AX9" s="971"/>
      <c r="AY9" s="971"/>
      <c r="AZ9" s="971"/>
      <c r="BA9" s="971"/>
      <c r="BB9" s="971"/>
      <c r="BC9" s="971"/>
      <c r="BD9" s="971"/>
      <c r="BE9" s="1182"/>
      <c r="BM9" s="968" t="s">
        <v>1898</v>
      </c>
    </row>
    <row r="10" spans="1:65" ht="14.5">
      <c r="A10" s="970"/>
      <c r="B10" s="972" t="s">
        <v>1899</v>
      </c>
      <c r="C10" s="972"/>
      <c r="D10" s="972"/>
      <c r="E10" s="972"/>
      <c r="F10" s="972"/>
      <c r="G10" s="972"/>
      <c r="H10" s="972"/>
      <c r="I10" s="972"/>
      <c r="J10" s="972"/>
      <c r="K10" s="972"/>
      <c r="L10" s="972"/>
      <c r="M10" s="971"/>
      <c r="N10" s="1832">
        <f>Application!AO627</f>
        <v>10726912</v>
      </c>
      <c r="O10" s="1832"/>
      <c r="P10" s="1832"/>
      <c r="Q10" s="1832"/>
      <c r="R10" s="1832"/>
      <c r="S10" s="1832"/>
      <c r="T10" s="1832"/>
      <c r="U10" s="971"/>
      <c r="V10" s="971"/>
      <c r="W10" s="971"/>
      <c r="X10" s="973"/>
      <c r="Y10" s="973"/>
      <c r="Z10" s="973"/>
      <c r="AA10" s="973"/>
      <c r="AB10" s="973"/>
      <c r="AC10" s="973"/>
      <c r="AD10" s="973"/>
      <c r="AE10" s="973"/>
      <c r="AF10" s="1817" t="s">
        <v>1900</v>
      </c>
      <c r="AG10" s="1817"/>
      <c r="AH10" s="1817"/>
      <c r="AI10" s="1817"/>
      <c r="AJ10" s="1817"/>
      <c r="AK10" s="1817"/>
      <c r="AL10" s="1817"/>
      <c r="AM10" s="1817"/>
      <c r="AN10" s="1817"/>
      <c r="AO10" s="1817"/>
      <c r="AP10" s="1818"/>
      <c r="AQ10" s="1819"/>
      <c r="AR10" s="1819"/>
      <c r="AS10" s="1819"/>
      <c r="AT10" s="1819"/>
      <c r="AU10" s="1819"/>
      <c r="AV10" s="973"/>
      <c r="AW10" s="973"/>
      <c r="AX10" s="971"/>
      <c r="AY10" s="971"/>
      <c r="AZ10" s="971"/>
      <c r="BA10" s="971"/>
      <c r="BB10" s="971"/>
      <c r="BC10" s="971"/>
      <c r="BD10" s="971"/>
      <c r="BE10" s="1182"/>
      <c r="BM10" s="968" t="s">
        <v>1901</v>
      </c>
    </row>
    <row r="11" spans="1:65" ht="14.5">
      <c r="A11" s="970"/>
      <c r="B11" s="972" t="s">
        <v>1902</v>
      </c>
      <c r="C11" s="972"/>
      <c r="D11" s="972"/>
      <c r="E11" s="972"/>
      <c r="F11" s="972"/>
      <c r="G11" s="972"/>
      <c r="H11" s="972"/>
      <c r="I11" s="972"/>
      <c r="J11" s="972"/>
      <c r="K11" s="972"/>
      <c r="L11" s="972"/>
      <c r="M11" s="971"/>
      <c r="N11" s="1832">
        <f>Application!AA933</f>
        <v>0</v>
      </c>
      <c r="O11" s="1832"/>
      <c r="P11" s="1832"/>
      <c r="Q11" s="1832"/>
      <c r="R11" s="1832"/>
      <c r="S11" s="1832"/>
      <c r="T11" s="1832"/>
      <c r="U11" s="971"/>
      <c r="V11" s="971"/>
      <c r="W11" s="971"/>
      <c r="X11" s="973"/>
      <c r="Y11" s="973"/>
      <c r="Z11" s="973"/>
      <c r="AA11" s="973"/>
      <c r="AB11" s="973"/>
      <c r="AC11" s="973"/>
      <c r="AD11" s="973"/>
      <c r="AE11" s="973"/>
      <c r="AF11" s="1817" t="s">
        <v>1903</v>
      </c>
      <c r="AG11" s="1817"/>
      <c r="AH11" s="1817"/>
      <c r="AI11" s="1817"/>
      <c r="AJ11" s="1817"/>
      <c r="AK11" s="1817"/>
      <c r="AL11" s="1817"/>
      <c r="AM11" s="1817"/>
      <c r="AN11" s="1817"/>
      <c r="AO11" s="1817"/>
      <c r="AP11" s="1818"/>
      <c r="AQ11" s="1819"/>
      <c r="AR11" s="1819"/>
      <c r="AS11" s="1819"/>
      <c r="AT11" s="1819"/>
      <c r="AU11" s="1819"/>
      <c r="AV11" s="973"/>
      <c r="AW11" s="973"/>
      <c r="AX11" s="971"/>
      <c r="AY11" s="971"/>
      <c r="AZ11" s="971"/>
      <c r="BA11" s="971"/>
      <c r="BB11" s="971"/>
      <c r="BC11" s="971"/>
      <c r="BD11" s="971"/>
      <c r="BE11" s="1182"/>
      <c r="BM11" s="968" t="s">
        <v>686</v>
      </c>
    </row>
    <row r="12" spans="1:65" ht="15" thickBot="1">
      <c r="A12" s="971"/>
      <c r="B12" s="971"/>
      <c r="C12" s="971"/>
      <c r="D12" s="971"/>
      <c r="E12" s="971"/>
      <c r="F12" s="971"/>
      <c r="G12" s="971"/>
      <c r="H12" s="971"/>
      <c r="I12" s="971"/>
      <c r="J12" s="971"/>
      <c r="K12" s="971"/>
      <c r="L12" s="971"/>
      <c r="M12" s="971"/>
      <c r="N12" s="971"/>
      <c r="O12" s="971"/>
      <c r="P12" s="971"/>
      <c r="Q12" s="971"/>
      <c r="R12" s="971"/>
      <c r="S12" s="971"/>
      <c r="T12" s="971"/>
      <c r="U12" s="971"/>
      <c r="V12" s="971"/>
      <c r="W12" s="971"/>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c r="AU12" s="973"/>
      <c r="AV12" s="971"/>
      <c r="AW12" s="971"/>
      <c r="AX12" s="971"/>
      <c r="AY12" s="971"/>
      <c r="AZ12" s="971"/>
      <c r="BA12" s="971"/>
      <c r="BB12" s="971"/>
      <c r="BC12" s="971"/>
      <c r="BD12" s="971"/>
      <c r="BE12" s="974"/>
      <c r="BM12" s="968" t="s">
        <v>1904</v>
      </c>
    </row>
    <row r="13" spans="1:65" ht="15" thickBot="1">
      <c r="A13" s="971"/>
      <c r="B13" s="1820" t="s">
        <v>1905</v>
      </c>
      <c r="C13" s="1821"/>
      <c r="D13" s="1821"/>
      <c r="E13" s="1821"/>
      <c r="F13" s="1821"/>
      <c r="G13" s="1821"/>
      <c r="H13" s="1821"/>
      <c r="I13" s="1821"/>
      <c r="J13" s="1821"/>
      <c r="K13" s="1821"/>
      <c r="L13" s="1821"/>
      <c r="M13" s="1821"/>
      <c r="N13" s="1821"/>
      <c r="O13" s="1821"/>
      <c r="P13" s="1822"/>
      <c r="Q13" s="1823" t="s">
        <v>694</v>
      </c>
      <c r="R13" s="1824"/>
      <c r="S13" s="1824"/>
      <c r="T13" s="1825"/>
      <c r="U13" s="973"/>
      <c r="V13" s="971"/>
      <c r="W13" s="971"/>
      <c r="X13" s="971"/>
      <c r="Y13" s="971"/>
      <c r="Z13" s="971"/>
      <c r="AA13" s="1826" t="s">
        <v>1906</v>
      </c>
      <c r="AB13" s="1826"/>
      <c r="AC13" s="1826"/>
      <c r="AD13" s="1826"/>
      <c r="AE13" s="1826"/>
      <c r="AF13" s="1826"/>
      <c r="AG13" s="1826"/>
      <c r="AH13" s="1826"/>
      <c r="AI13" s="1826"/>
      <c r="AJ13" s="1826"/>
      <c r="AK13" s="1826"/>
      <c r="AL13" s="1826"/>
      <c r="AM13" s="1826"/>
      <c r="AN13" s="1826"/>
      <c r="AO13" s="1827">
        <f>Application!W473</f>
        <v>0</v>
      </c>
      <c r="AP13" s="1828"/>
      <c r="AQ13" s="1828"/>
      <c r="AR13" s="1828"/>
      <c r="AS13" s="1828"/>
      <c r="AT13" s="973"/>
      <c r="AU13" s="973"/>
      <c r="AV13" s="973"/>
      <c r="AW13" s="973"/>
      <c r="AX13" s="973"/>
      <c r="AY13" s="973"/>
      <c r="AZ13" s="973"/>
      <c r="BA13" s="973"/>
      <c r="BB13" s="973"/>
      <c r="BC13" s="973"/>
      <c r="BD13" s="973"/>
      <c r="BE13" s="974"/>
      <c r="BM13" s="968" t="s">
        <v>1907</v>
      </c>
    </row>
    <row r="14" spans="1:65" ht="15"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1829" t="s">
        <v>1908</v>
      </c>
      <c r="AB14" s="1829"/>
      <c r="AC14" s="1829"/>
      <c r="AD14" s="1829"/>
      <c r="AE14" s="1829"/>
      <c r="AF14" s="1829"/>
      <c r="AG14" s="1829"/>
      <c r="AH14" s="1829"/>
      <c r="AI14" s="1829"/>
      <c r="AJ14" s="1829"/>
      <c r="AK14" s="1829"/>
      <c r="AL14" s="1829"/>
      <c r="AM14" s="1829"/>
      <c r="AN14" s="1829"/>
      <c r="AO14" s="1830"/>
      <c r="AP14" s="1831"/>
      <c r="AQ14" s="1831"/>
      <c r="AR14" s="1831"/>
      <c r="AS14" s="1831"/>
      <c r="AT14" s="973"/>
      <c r="AU14" s="973"/>
      <c r="AV14" s="973"/>
      <c r="AW14" s="973"/>
      <c r="AX14" s="973"/>
      <c r="AY14" s="973"/>
      <c r="AZ14" s="973"/>
      <c r="BA14" s="973"/>
      <c r="BB14" s="973"/>
      <c r="BC14" s="973"/>
      <c r="BD14" s="973"/>
      <c r="BE14" s="974"/>
    </row>
    <row r="15" spans="1:65" ht="15" thickBot="1">
      <c r="A15" s="971"/>
      <c r="B15" s="1833" t="s">
        <v>1909</v>
      </c>
      <c r="C15" s="1834"/>
      <c r="D15" s="1834"/>
      <c r="E15" s="1834"/>
      <c r="F15" s="1834"/>
      <c r="G15" s="1834"/>
      <c r="H15" s="1834"/>
      <c r="I15" s="1834"/>
      <c r="J15" s="1834"/>
      <c r="K15" s="1834"/>
      <c r="L15" s="1834"/>
      <c r="M15" s="1834"/>
      <c r="N15" s="1834"/>
      <c r="O15" s="1834"/>
      <c r="P15" s="1834"/>
      <c r="Q15" s="1834"/>
      <c r="R15" s="1835"/>
      <c r="S15" s="1836" t="str">
        <f>IF(Application!AB214="","",Application!AB214)</f>
        <v/>
      </c>
      <c r="T15" s="1836"/>
      <c r="U15" s="1836"/>
      <c r="V15" s="1836"/>
      <c r="W15" s="1837"/>
      <c r="X15" s="973"/>
      <c r="Y15" s="971"/>
      <c r="Z15" s="971"/>
      <c r="AA15" s="1826" t="s">
        <v>1910</v>
      </c>
      <c r="AB15" s="1826"/>
      <c r="AC15" s="1826"/>
      <c r="AD15" s="1826"/>
      <c r="AE15" s="1826"/>
      <c r="AF15" s="1826"/>
      <c r="AG15" s="1826"/>
      <c r="AH15" s="1826"/>
      <c r="AI15" s="1826"/>
      <c r="AJ15" s="1826"/>
      <c r="AK15" s="1826"/>
      <c r="AL15" s="1826"/>
      <c r="AM15" s="1826"/>
      <c r="AN15" s="1826"/>
      <c r="AO15" s="1830"/>
      <c r="AP15" s="1831"/>
      <c r="AQ15" s="1831"/>
      <c r="AR15" s="1831"/>
      <c r="AS15" s="1831"/>
      <c r="AT15" s="973"/>
      <c r="AU15" s="973"/>
      <c r="AV15" s="973"/>
      <c r="AW15" s="973"/>
      <c r="AX15" s="973"/>
      <c r="AY15" s="973"/>
      <c r="AZ15" s="973"/>
      <c r="BA15" s="973"/>
      <c r="BB15" s="973"/>
      <c r="BC15" s="973"/>
      <c r="BD15" s="973"/>
      <c r="BE15" s="974"/>
    </row>
    <row r="16" spans="1:65" ht="15" thickBot="1">
      <c r="A16" s="970"/>
      <c r="B16" s="971"/>
      <c r="C16" s="971"/>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c r="AT16" s="971"/>
      <c r="AU16" s="971"/>
      <c r="AV16" s="971"/>
      <c r="AW16" s="971"/>
      <c r="AX16" s="971"/>
      <c r="AY16" s="971"/>
      <c r="AZ16" s="971"/>
      <c r="BA16" s="971"/>
      <c r="BB16" s="971"/>
      <c r="BC16" s="971"/>
      <c r="BD16" s="971"/>
      <c r="BE16" s="974"/>
    </row>
    <row r="17" spans="1:58" ht="14.5">
      <c r="A17" s="971"/>
      <c r="B17" s="1838" t="s">
        <v>1911</v>
      </c>
      <c r="C17" s="1839"/>
      <c r="D17" s="1839"/>
      <c r="E17" s="1839"/>
      <c r="F17" s="1839"/>
      <c r="G17" s="1839"/>
      <c r="H17" s="1839"/>
      <c r="I17" s="1839"/>
      <c r="J17" s="1839"/>
      <c r="K17" s="1839"/>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c r="AL17" s="1839"/>
      <c r="AM17" s="1839"/>
      <c r="AN17" s="1839"/>
      <c r="AO17" s="1839"/>
      <c r="AP17" s="1839"/>
      <c r="AQ17" s="1839"/>
      <c r="AR17" s="1839"/>
      <c r="AS17" s="1839"/>
      <c r="AT17" s="1839"/>
      <c r="AU17" s="1839"/>
      <c r="AV17" s="1839"/>
      <c r="AW17" s="1839"/>
      <c r="AX17" s="1839"/>
      <c r="AY17" s="1840"/>
      <c r="AZ17" s="971"/>
      <c r="BA17" s="971"/>
      <c r="BB17" s="971"/>
      <c r="BC17" s="971"/>
      <c r="BD17" s="971"/>
      <c r="BE17" s="974"/>
      <c r="BF17" s="969"/>
    </row>
    <row r="18" spans="1:58" ht="15.75" customHeight="1">
      <c r="A18" s="971"/>
      <c r="B18" s="1841" t="s">
        <v>1912</v>
      </c>
      <c r="C18" s="1842"/>
      <c r="D18" s="1842"/>
      <c r="E18" s="1842"/>
      <c r="F18" s="1842"/>
      <c r="G18" s="1842"/>
      <c r="H18" s="1842"/>
      <c r="I18" s="1843"/>
      <c r="J18" s="1844" t="s">
        <v>1913</v>
      </c>
      <c r="K18" s="1845"/>
      <c r="L18" s="1845"/>
      <c r="M18" s="1845"/>
      <c r="N18" s="1845"/>
      <c r="O18" s="1846"/>
      <c r="P18" s="1844" t="s">
        <v>831</v>
      </c>
      <c r="Q18" s="1845"/>
      <c r="R18" s="1845"/>
      <c r="S18" s="1845"/>
      <c r="T18" s="1845"/>
      <c r="U18" s="1846"/>
      <c r="V18" s="1844" t="s">
        <v>832</v>
      </c>
      <c r="W18" s="1845"/>
      <c r="X18" s="1845"/>
      <c r="Y18" s="1845"/>
      <c r="Z18" s="1845"/>
      <c r="AA18" s="1846"/>
      <c r="AB18" s="1844" t="s">
        <v>833</v>
      </c>
      <c r="AC18" s="1845"/>
      <c r="AD18" s="1845"/>
      <c r="AE18" s="1845"/>
      <c r="AF18" s="1845"/>
      <c r="AG18" s="1846"/>
      <c r="AH18" s="1844" t="s">
        <v>834</v>
      </c>
      <c r="AI18" s="1845"/>
      <c r="AJ18" s="1845"/>
      <c r="AK18" s="1845"/>
      <c r="AL18" s="1845"/>
      <c r="AM18" s="1846"/>
      <c r="AN18" s="1844" t="s">
        <v>835</v>
      </c>
      <c r="AO18" s="1845"/>
      <c r="AP18" s="1845"/>
      <c r="AQ18" s="1845"/>
      <c r="AR18" s="1845"/>
      <c r="AS18" s="1846"/>
      <c r="AT18" s="1844" t="s">
        <v>1914</v>
      </c>
      <c r="AU18" s="1845"/>
      <c r="AV18" s="1845"/>
      <c r="AW18" s="1845"/>
      <c r="AX18" s="1845"/>
      <c r="AY18" s="1847"/>
      <c r="AZ18" s="971"/>
      <c r="BA18" s="971"/>
      <c r="BB18" s="971"/>
      <c r="BC18" s="971"/>
      <c r="BD18" s="971"/>
      <c r="BE18" s="974"/>
    </row>
    <row r="19" spans="1:58" ht="14.5">
      <c r="A19" s="971"/>
      <c r="B19" s="1848">
        <v>0.3</v>
      </c>
      <c r="C19" s="1849"/>
      <c r="D19" s="1849"/>
      <c r="E19" s="1849"/>
      <c r="F19" s="1849"/>
      <c r="G19" s="1849"/>
      <c r="H19" s="1849"/>
      <c r="I19" s="1850"/>
      <c r="J19" s="1851">
        <f t="shared" ref="J19:J24" si="0">SUM(P19:AS19)</f>
        <v>25</v>
      </c>
      <c r="K19" s="1852"/>
      <c r="L19" s="1852"/>
      <c r="M19" s="1852"/>
      <c r="N19" s="1852"/>
      <c r="O19" s="1853"/>
      <c r="P19" s="1851" cm="1">
        <f t="array" ref="P19">SUMPRODUCT((Application!$B$718:$B$752 = 'CalHFA Addendum'!P$18)*(Application!$AC$718:$AC$752 = 'CalHFA Addendum'!$B19),Application!$G$718:$G$752)</f>
        <v>0</v>
      </c>
      <c r="Q19" s="1852"/>
      <c r="R19" s="1852"/>
      <c r="S19" s="1852"/>
      <c r="T19" s="1852"/>
      <c r="U19" s="1853"/>
      <c r="V19" s="1851" cm="1">
        <f t="array" ref="V19">SUMPRODUCT((Application!$B$714:$B$738 = 'CalHFA Addendum'!V$18)*(Application!$AC$714:$AC$738 = 'CalHFA Addendum'!$B19),Application!$G$714:$G$738)</f>
        <v>0</v>
      </c>
      <c r="W19" s="1852"/>
      <c r="X19" s="1852"/>
      <c r="Y19" s="1852"/>
      <c r="Z19" s="1852"/>
      <c r="AA19" s="1853"/>
      <c r="AB19" s="1851" cm="1">
        <f t="array" ref="AB19">SUMPRODUCT((Application!$B$714:$B$738 = 'CalHFA Addendum'!AB$18)*(Application!$AC$714:$AC$738 = 'CalHFA Addendum'!$B19),Application!$G$714:$G$738)</f>
        <v>10</v>
      </c>
      <c r="AC19" s="1852"/>
      <c r="AD19" s="1852"/>
      <c r="AE19" s="1852"/>
      <c r="AF19" s="1852"/>
      <c r="AG19" s="1853"/>
      <c r="AH19" s="1851" cm="1">
        <f t="array" ref="AH19">SUMPRODUCT((Application!$B$714:$B$738 = 'CalHFA Addendum'!AH$18)*(Application!$AC$714:$AC$738 = 'CalHFA Addendum'!$B19),Application!$G$714:$G$738)</f>
        <v>15</v>
      </c>
      <c r="AI19" s="1852"/>
      <c r="AJ19" s="1852"/>
      <c r="AK19" s="1852"/>
      <c r="AL19" s="1852"/>
      <c r="AM19" s="1853"/>
      <c r="AN19" s="1851" cm="1">
        <f t="array" ref="AN19">SUMPRODUCT((Application!$B$714:$B$738 = 'CalHFA Addendum'!AN$18)*(Application!$AC$714:$AC$738 = 'CalHFA Addendum'!$B19),Application!$G$714:$G$738)</f>
        <v>0</v>
      </c>
      <c r="AO19" s="1852"/>
      <c r="AP19" s="1852"/>
      <c r="AQ19" s="1852"/>
      <c r="AR19" s="1852"/>
      <c r="AS19" s="1853"/>
      <c r="AT19" s="1854">
        <f t="shared" ref="AT19:AT29" si="1">J19/$J$29</f>
        <v>0.47169811320754718</v>
      </c>
      <c r="AU19" s="1855"/>
      <c r="AV19" s="1855"/>
      <c r="AW19" s="1855"/>
      <c r="AX19" s="1855"/>
      <c r="AY19" s="1856"/>
      <c r="AZ19" s="975"/>
      <c r="BA19" s="971"/>
      <c r="BB19" s="971"/>
      <c r="BC19" s="971"/>
      <c r="BD19" s="971"/>
      <c r="BE19" s="974"/>
    </row>
    <row r="20" spans="1:58" ht="15" customHeight="1">
      <c r="A20" s="971"/>
      <c r="B20" s="1848">
        <v>0.4</v>
      </c>
      <c r="C20" s="1849"/>
      <c r="D20" s="1849"/>
      <c r="E20" s="1849"/>
      <c r="F20" s="1849"/>
      <c r="G20" s="1849"/>
      <c r="H20" s="1849"/>
      <c r="I20" s="1850"/>
      <c r="J20" s="1851">
        <f t="shared" si="0"/>
        <v>0</v>
      </c>
      <c r="K20" s="1852"/>
      <c r="L20" s="1852"/>
      <c r="M20" s="1852"/>
      <c r="N20" s="1852"/>
      <c r="O20" s="1853"/>
      <c r="P20" s="1851" cm="1">
        <f t="array" ref="P20">SUMPRODUCT((Application!$B$718:$B$752 = 'CalHFA Addendum'!P$18)*(Application!$AC$718:$AC$752 = 'CalHFA Addendum'!$B20),Application!$G$718:$G$752)</f>
        <v>0</v>
      </c>
      <c r="Q20" s="1852"/>
      <c r="R20" s="1852"/>
      <c r="S20" s="1852"/>
      <c r="T20" s="1852"/>
      <c r="U20" s="1853"/>
      <c r="V20" s="1851" cm="1">
        <f t="array" ref="V20">SUMPRODUCT((Application!$B$714:$B$738 = 'CalHFA Addendum'!V$18)*(Application!$AC$714:$AC$738 = 'CalHFA Addendum'!$B20),Application!$G$714:$G$738)</f>
        <v>0</v>
      </c>
      <c r="W20" s="1852"/>
      <c r="X20" s="1852"/>
      <c r="Y20" s="1852"/>
      <c r="Z20" s="1852"/>
      <c r="AA20" s="1853"/>
      <c r="AB20" s="1851" cm="1">
        <f t="array" ref="AB20">SUMPRODUCT((Application!$B$714:$B$738 = 'CalHFA Addendum'!AB$18)*(Application!$AC$714:$AC$738 = 'CalHFA Addendum'!$B20),Application!$G$714:$G$738)</f>
        <v>0</v>
      </c>
      <c r="AC20" s="1852"/>
      <c r="AD20" s="1852"/>
      <c r="AE20" s="1852"/>
      <c r="AF20" s="1852"/>
      <c r="AG20" s="1853"/>
      <c r="AH20" s="1851" cm="1">
        <f t="array" ref="AH20">SUMPRODUCT((Application!$B$714:$B$738 = 'CalHFA Addendum'!AH$18)*(Application!$AC$714:$AC$738 = 'CalHFA Addendum'!$B20),Application!$G$714:$G$738)</f>
        <v>0</v>
      </c>
      <c r="AI20" s="1852"/>
      <c r="AJ20" s="1852"/>
      <c r="AK20" s="1852"/>
      <c r="AL20" s="1852"/>
      <c r="AM20" s="1853"/>
      <c r="AN20" s="1851" cm="1">
        <f t="array" ref="AN20">SUMPRODUCT((Application!$B$714:$B$738 = 'CalHFA Addendum'!AN$18)*(Application!$AC$714:$AC$738 = 'CalHFA Addendum'!$B20),Application!$G$714:$G$738)</f>
        <v>0</v>
      </c>
      <c r="AO20" s="1852"/>
      <c r="AP20" s="1852"/>
      <c r="AQ20" s="1852"/>
      <c r="AR20" s="1852"/>
      <c r="AS20" s="1853"/>
      <c r="AT20" s="1854">
        <f t="shared" si="1"/>
        <v>0</v>
      </c>
      <c r="AU20" s="1855"/>
      <c r="AV20" s="1855"/>
      <c r="AW20" s="1855"/>
      <c r="AX20" s="1855"/>
      <c r="AY20" s="1856"/>
      <c r="AZ20" s="971"/>
      <c r="BA20" s="971"/>
      <c r="BB20" s="971"/>
      <c r="BC20" s="971"/>
      <c r="BD20" s="971"/>
      <c r="BE20" s="974"/>
    </row>
    <row r="21" spans="1:58" ht="14.5">
      <c r="A21" s="971"/>
      <c r="B21" s="1848">
        <v>0.5</v>
      </c>
      <c r="C21" s="1849"/>
      <c r="D21" s="1849"/>
      <c r="E21" s="1849"/>
      <c r="F21" s="1849"/>
      <c r="G21" s="1849"/>
      <c r="H21" s="1849"/>
      <c r="I21" s="1850"/>
      <c r="J21" s="1851">
        <f t="shared" si="0"/>
        <v>0</v>
      </c>
      <c r="K21" s="1852"/>
      <c r="L21" s="1852"/>
      <c r="M21" s="1852"/>
      <c r="N21" s="1852"/>
      <c r="O21" s="1853"/>
      <c r="P21" s="1851" cm="1">
        <f t="array" ref="P21">SUMPRODUCT((Application!$B$714:$B$738 = 'CalHFA Addendum'!P$18)*(Application!$AC$714:$AC$738 = 'CalHFA Addendum'!$B21),Application!$G$714:$G$738)</f>
        <v>0</v>
      </c>
      <c r="Q21" s="1852"/>
      <c r="R21" s="1852"/>
      <c r="S21" s="1852"/>
      <c r="T21" s="1852"/>
      <c r="U21" s="1853"/>
      <c r="V21" s="1851" cm="1">
        <f t="array" ref="V21">SUMPRODUCT((Application!$B$714:$B$738 = 'CalHFA Addendum'!V$18)*(Application!$AC$714:$AC$738 = 'CalHFA Addendum'!$B21),Application!$G$714:$G$738)</f>
        <v>0</v>
      </c>
      <c r="W21" s="1852"/>
      <c r="X21" s="1852"/>
      <c r="Y21" s="1852"/>
      <c r="Z21" s="1852"/>
      <c r="AA21" s="1853"/>
      <c r="AB21" s="1851" cm="1">
        <f t="array" ref="AB21">SUMPRODUCT((Application!$B$714:$B$738 = 'CalHFA Addendum'!AB$18)*(Application!$AC$714:$AC$738 = 'CalHFA Addendum'!$B21),Application!$G$714:$G$738)</f>
        <v>0</v>
      </c>
      <c r="AC21" s="1852"/>
      <c r="AD21" s="1852"/>
      <c r="AE21" s="1852"/>
      <c r="AF21" s="1852"/>
      <c r="AG21" s="1853"/>
      <c r="AH21" s="1851" cm="1">
        <f t="array" ref="AH21">SUMPRODUCT((Application!$B$714:$B$738 = 'CalHFA Addendum'!AH$18)*(Application!$AC$714:$AC$738 = 'CalHFA Addendum'!$B21),Application!$G$714:$G$738)</f>
        <v>0</v>
      </c>
      <c r="AI21" s="1852"/>
      <c r="AJ21" s="1852"/>
      <c r="AK21" s="1852"/>
      <c r="AL21" s="1852"/>
      <c r="AM21" s="1853"/>
      <c r="AN21" s="1851" cm="1">
        <f t="array" ref="AN21">SUMPRODUCT((Application!$B$714:$B$738 = 'CalHFA Addendum'!AN$18)*(Application!$AC$714:$AC$738 = 'CalHFA Addendum'!$B21),Application!$G$714:$G$738)</f>
        <v>0</v>
      </c>
      <c r="AO21" s="1852"/>
      <c r="AP21" s="1852"/>
      <c r="AQ21" s="1852"/>
      <c r="AR21" s="1852"/>
      <c r="AS21" s="1853"/>
      <c r="AT21" s="1854">
        <f t="shared" si="1"/>
        <v>0</v>
      </c>
      <c r="AU21" s="1855"/>
      <c r="AV21" s="1855"/>
      <c r="AW21" s="1855"/>
      <c r="AX21" s="1855"/>
      <c r="AY21" s="1856"/>
      <c r="AZ21" s="971"/>
      <c r="BA21" s="971"/>
      <c r="BB21" s="971"/>
      <c r="BC21" s="971"/>
      <c r="BD21" s="971"/>
      <c r="BE21" s="974"/>
    </row>
    <row r="22" spans="1:58" ht="14.5">
      <c r="A22" s="971"/>
      <c r="B22" s="1848">
        <v>0.6</v>
      </c>
      <c r="C22" s="1849"/>
      <c r="D22" s="1849"/>
      <c r="E22" s="1849"/>
      <c r="F22" s="1849"/>
      <c r="G22" s="1849"/>
      <c r="H22" s="1849"/>
      <c r="I22" s="1850"/>
      <c r="J22" s="1851">
        <f t="shared" si="0"/>
        <v>27</v>
      </c>
      <c r="K22" s="1852"/>
      <c r="L22" s="1852"/>
      <c r="M22" s="1852"/>
      <c r="N22" s="1852"/>
      <c r="O22" s="1853"/>
      <c r="P22" s="1851" cm="1">
        <f t="array" ref="P22">SUMPRODUCT((Application!$B$714:$B$738 = 'CalHFA Addendum'!P$18)*(Application!$AC$714:$AC$738 = 'CalHFA Addendum'!$B22),Application!$G$714:$G$738)</f>
        <v>0</v>
      </c>
      <c r="Q22" s="1852"/>
      <c r="R22" s="1852"/>
      <c r="S22" s="1852"/>
      <c r="T22" s="1852"/>
      <c r="U22" s="1853"/>
      <c r="V22" s="1851" cm="1">
        <f t="array" ref="V22">SUMPRODUCT((Application!$B$714:$B$738 = 'CalHFA Addendum'!V$18)*(Application!$AC$714:$AC$738 = 'CalHFA Addendum'!$B22),Application!$G$714:$G$738)</f>
        <v>6</v>
      </c>
      <c r="W22" s="1852"/>
      <c r="X22" s="1852"/>
      <c r="Y22" s="1852"/>
      <c r="Z22" s="1852"/>
      <c r="AA22" s="1853"/>
      <c r="AB22" s="1851" cm="1">
        <f t="array" ref="AB22">SUMPRODUCT((Application!$B$714:$B$738 = 'CalHFA Addendum'!AB$18)*(Application!$AC$714:$AC$738 = 'CalHFA Addendum'!$B22),Application!$G$714:$G$738)</f>
        <v>14</v>
      </c>
      <c r="AC22" s="1852"/>
      <c r="AD22" s="1852"/>
      <c r="AE22" s="1852"/>
      <c r="AF22" s="1852"/>
      <c r="AG22" s="1853"/>
      <c r="AH22" s="1851" cm="1">
        <f t="array" ref="AH22">SUMPRODUCT((Application!$B$714:$B$738 = 'CalHFA Addendum'!AH$18)*(Application!$AC$714:$AC$738 = 'CalHFA Addendum'!$B22),Application!$G$714:$G$738)</f>
        <v>7</v>
      </c>
      <c r="AI22" s="1852"/>
      <c r="AJ22" s="1852"/>
      <c r="AK22" s="1852"/>
      <c r="AL22" s="1852"/>
      <c r="AM22" s="1853"/>
      <c r="AN22" s="1851" cm="1">
        <f t="array" ref="AN22">SUMPRODUCT((Application!$B$714:$B$738 = 'CalHFA Addendum'!AN$18)*(Application!$AC$714:$AC$738 = 'CalHFA Addendum'!$B22),Application!$G$714:$G$738)</f>
        <v>0</v>
      </c>
      <c r="AO22" s="1852"/>
      <c r="AP22" s="1852"/>
      <c r="AQ22" s="1852"/>
      <c r="AR22" s="1852"/>
      <c r="AS22" s="1853"/>
      <c r="AT22" s="1854">
        <f t="shared" si="1"/>
        <v>0.50943396226415094</v>
      </c>
      <c r="AU22" s="1855"/>
      <c r="AV22" s="1855"/>
      <c r="AW22" s="1855"/>
      <c r="AX22" s="1855"/>
      <c r="AY22" s="1856"/>
      <c r="AZ22" s="971"/>
      <c r="BA22" s="971"/>
      <c r="BB22" s="971"/>
      <c r="BC22" s="971"/>
      <c r="BD22" s="971"/>
      <c r="BE22" s="974"/>
    </row>
    <row r="23" spans="1:58" ht="14.5">
      <c r="A23" s="971"/>
      <c r="B23" s="1848">
        <v>0.7</v>
      </c>
      <c r="C23" s="1849"/>
      <c r="D23" s="1849"/>
      <c r="E23" s="1849"/>
      <c r="F23" s="1849"/>
      <c r="G23" s="1849"/>
      <c r="H23" s="1849"/>
      <c r="I23" s="1850"/>
      <c r="J23" s="1851">
        <f t="shared" si="0"/>
        <v>0</v>
      </c>
      <c r="K23" s="1852"/>
      <c r="L23" s="1852"/>
      <c r="M23" s="1852"/>
      <c r="N23" s="1852"/>
      <c r="O23" s="1853"/>
      <c r="P23" s="1851" cm="1">
        <f t="array" ref="P23">SUMPRODUCT((Application!$B$714:$B$738 = 'CalHFA Addendum'!P$18)*(Application!$AC$714:$AC$738 = 'CalHFA Addendum'!$B23),Application!$G$714:$G$738)</f>
        <v>0</v>
      </c>
      <c r="Q23" s="1852"/>
      <c r="R23" s="1852"/>
      <c r="S23" s="1852"/>
      <c r="T23" s="1852"/>
      <c r="U23" s="1853"/>
      <c r="V23" s="1851" cm="1">
        <f t="array" ref="V23">SUMPRODUCT((Application!$B$714:$B$738 = 'CalHFA Addendum'!V$18)*(Application!$AC$714:$AC$738 = 'CalHFA Addendum'!$B23),Application!$G$714:$G$738)</f>
        <v>0</v>
      </c>
      <c r="W23" s="1852"/>
      <c r="X23" s="1852"/>
      <c r="Y23" s="1852"/>
      <c r="Z23" s="1852"/>
      <c r="AA23" s="1853"/>
      <c r="AB23" s="1851" cm="1">
        <f t="array" ref="AB23">SUMPRODUCT((Application!$B$714:$B$738 = 'CalHFA Addendum'!AB$18)*(Application!$AC$714:$AC$738 = 'CalHFA Addendum'!$B23),Application!$G$714:$G$738)</f>
        <v>0</v>
      </c>
      <c r="AC23" s="1852"/>
      <c r="AD23" s="1852"/>
      <c r="AE23" s="1852"/>
      <c r="AF23" s="1852"/>
      <c r="AG23" s="1853"/>
      <c r="AH23" s="1851" cm="1">
        <f t="array" ref="AH23">SUMPRODUCT((Application!$B$714:$B$738 = 'CalHFA Addendum'!AH$18)*(Application!$AC$714:$AC$738 = 'CalHFA Addendum'!$B23),Application!$G$714:$G$738)</f>
        <v>0</v>
      </c>
      <c r="AI23" s="1852"/>
      <c r="AJ23" s="1852"/>
      <c r="AK23" s="1852"/>
      <c r="AL23" s="1852"/>
      <c r="AM23" s="1853"/>
      <c r="AN23" s="1851" cm="1">
        <f t="array" ref="AN23">SUMPRODUCT((Application!$B$714:$B$738 = 'CalHFA Addendum'!AN$18)*(Application!$AC$714:$AC$738 = 'CalHFA Addendum'!$B23),Application!$G$714:$G$738)</f>
        <v>0</v>
      </c>
      <c r="AO23" s="1852"/>
      <c r="AP23" s="1852"/>
      <c r="AQ23" s="1852"/>
      <c r="AR23" s="1852"/>
      <c r="AS23" s="1853"/>
      <c r="AT23" s="1854">
        <f t="shared" si="1"/>
        <v>0</v>
      </c>
      <c r="AU23" s="1855"/>
      <c r="AV23" s="1855"/>
      <c r="AW23" s="1855"/>
      <c r="AX23" s="1855"/>
      <c r="AY23" s="1856"/>
      <c r="AZ23" s="971"/>
      <c r="BA23" s="971"/>
      <c r="BB23" s="971"/>
      <c r="BC23" s="971"/>
      <c r="BD23" s="971"/>
      <c r="BE23" s="974"/>
    </row>
    <row r="24" spans="1:58" ht="14.5">
      <c r="A24" s="971"/>
      <c r="B24" s="1848">
        <v>0.8</v>
      </c>
      <c r="C24" s="1849"/>
      <c r="D24" s="1849"/>
      <c r="E24" s="1849"/>
      <c r="F24" s="1849"/>
      <c r="G24" s="1849"/>
      <c r="H24" s="1849"/>
      <c r="I24" s="1850"/>
      <c r="J24" s="1851">
        <f t="shared" si="0"/>
        <v>0</v>
      </c>
      <c r="K24" s="1852"/>
      <c r="L24" s="1852"/>
      <c r="M24" s="1852"/>
      <c r="N24" s="1852"/>
      <c r="O24" s="1853"/>
      <c r="P24" s="1851" cm="1">
        <f t="array" ref="P24">SUMPRODUCT((Application!$B$714:$B$738 = 'CalHFA Addendum'!P$18)*(Application!$AC$714:$AC$738 = 'CalHFA Addendum'!$B24),Application!$G$714:$G$738)</f>
        <v>0</v>
      </c>
      <c r="Q24" s="1852"/>
      <c r="R24" s="1852"/>
      <c r="S24" s="1852"/>
      <c r="T24" s="1852"/>
      <c r="U24" s="1853"/>
      <c r="V24" s="1851" cm="1">
        <f t="array" ref="V24">SUMPRODUCT((Application!$B$714:$B$738 = 'CalHFA Addendum'!V$18)*(Application!$AC$714:$AC$738 = 'CalHFA Addendum'!$B24),Application!$G$714:$G$738)</f>
        <v>0</v>
      </c>
      <c r="W24" s="1852"/>
      <c r="X24" s="1852"/>
      <c r="Y24" s="1852"/>
      <c r="Z24" s="1852"/>
      <c r="AA24" s="1853"/>
      <c r="AB24" s="1851" cm="1">
        <f t="array" ref="AB24">SUMPRODUCT((Application!$B$714:$B$738 = 'CalHFA Addendum'!AB$18)*(Application!$AC$714:$AC$738 = 'CalHFA Addendum'!$B24),Application!$G$714:$G$738)</f>
        <v>0</v>
      </c>
      <c r="AC24" s="1852"/>
      <c r="AD24" s="1852"/>
      <c r="AE24" s="1852"/>
      <c r="AF24" s="1852"/>
      <c r="AG24" s="1853"/>
      <c r="AH24" s="1851" cm="1">
        <f t="array" ref="AH24">SUMPRODUCT((Application!$B$714:$B$738 = 'CalHFA Addendum'!AH$18)*(Application!$AC$714:$AC$738 = 'CalHFA Addendum'!$B24),Application!$G$714:$G$738)</f>
        <v>0</v>
      </c>
      <c r="AI24" s="1852"/>
      <c r="AJ24" s="1852"/>
      <c r="AK24" s="1852"/>
      <c r="AL24" s="1852"/>
      <c r="AM24" s="1853"/>
      <c r="AN24" s="1851" cm="1">
        <f t="array" ref="AN24">SUMPRODUCT((Application!$B$714:$B$738 = 'CalHFA Addendum'!AN$18)*(Application!$AC$714:$AC$738 = 'CalHFA Addendum'!$B24),Application!$G$714:$G$738)</f>
        <v>0</v>
      </c>
      <c r="AO24" s="1852"/>
      <c r="AP24" s="1852"/>
      <c r="AQ24" s="1852"/>
      <c r="AR24" s="1852"/>
      <c r="AS24" s="1853"/>
      <c r="AT24" s="1854">
        <f t="shared" si="1"/>
        <v>0</v>
      </c>
      <c r="AU24" s="1855"/>
      <c r="AV24" s="1855"/>
      <c r="AW24" s="1855"/>
      <c r="AX24" s="1855"/>
      <c r="AY24" s="1856"/>
      <c r="AZ24" s="971"/>
      <c r="BA24" s="971"/>
      <c r="BB24" s="971"/>
      <c r="BC24" s="971"/>
      <c r="BD24" s="971"/>
      <c r="BE24" s="974"/>
    </row>
    <row r="25" spans="1:58" ht="14.5">
      <c r="A25" s="971"/>
      <c r="B25" s="1848">
        <v>0.9</v>
      </c>
      <c r="C25" s="1849"/>
      <c r="D25" s="1849"/>
      <c r="E25" s="1849"/>
      <c r="F25" s="1849"/>
      <c r="G25" s="1849"/>
      <c r="H25" s="1849"/>
      <c r="I25" s="1850"/>
      <c r="J25" s="1857"/>
      <c r="K25" s="1858"/>
      <c r="L25" s="1858"/>
      <c r="M25" s="1858"/>
      <c r="N25" s="1858"/>
      <c r="O25" s="1859"/>
      <c r="P25" s="1857"/>
      <c r="Q25" s="1858"/>
      <c r="R25" s="1858"/>
      <c r="S25" s="1858"/>
      <c r="T25" s="1858"/>
      <c r="U25" s="1859"/>
      <c r="V25" s="1857"/>
      <c r="W25" s="1858"/>
      <c r="X25" s="1858"/>
      <c r="Y25" s="1858"/>
      <c r="Z25" s="1858"/>
      <c r="AA25" s="1859"/>
      <c r="AB25" s="1857"/>
      <c r="AC25" s="1858"/>
      <c r="AD25" s="1858"/>
      <c r="AE25" s="1858"/>
      <c r="AF25" s="1858"/>
      <c r="AG25" s="1859"/>
      <c r="AH25" s="1857"/>
      <c r="AI25" s="1858"/>
      <c r="AJ25" s="1858"/>
      <c r="AK25" s="1858"/>
      <c r="AL25" s="1858"/>
      <c r="AM25" s="1859"/>
      <c r="AN25" s="1857"/>
      <c r="AO25" s="1858"/>
      <c r="AP25" s="1858"/>
      <c r="AQ25" s="1858"/>
      <c r="AR25" s="1858"/>
      <c r="AS25" s="1859"/>
      <c r="AT25" s="1854">
        <f t="shared" si="1"/>
        <v>0</v>
      </c>
      <c r="AU25" s="1855"/>
      <c r="AV25" s="1855"/>
      <c r="AW25" s="1855"/>
      <c r="AX25" s="1855"/>
      <c r="AY25" s="1856"/>
      <c r="AZ25" s="971"/>
      <c r="BA25" s="971"/>
      <c r="BB25" s="971"/>
      <c r="BC25" s="971"/>
      <c r="BD25" s="971"/>
      <c r="BE25" s="974"/>
    </row>
    <row r="26" spans="1:58" ht="14.5">
      <c r="A26" s="971"/>
      <c r="B26" s="1848">
        <v>1</v>
      </c>
      <c r="C26" s="1849"/>
      <c r="D26" s="1849"/>
      <c r="E26" s="1849"/>
      <c r="F26" s="1849"/>
      <c r="G26" s="1849"/>
      <c r="H26" s="1849"/>
      <c r="I26" s="1850"/>
      <c r="J26" s="1857"/>
      <c r="K26" s="1858"/>
      <c r="L26" s="1858"/>
      <c r="M26" s="1858"/>
      <c r="N26" s="1858"/>
      <c r="O26" s="1859"/>
      <c r="P26" s="1857"/>
      <c r="Q26" s="1858"/>
      <c r="R26" s="1858"/>
      <c r="S26" s="1858"/>
      <c r="T26" s="1858"/>
      <c r="U26" s="1859"/>
      <c r="V26" s="1857"/>
      <c r="W26" s="1858"/>
      <c r="X26" s="1858"/>
      <c r="Y26" s="1858"/>
      <c r="Z26" s="1858"/>
      <c r="AA26" s="1859"/>
      <c r="AB26" s="1857"/>
      <c r="AC26" s="1858"/>
      <c r="AD26" s="1858"/>
      <c r="AE26" s="1858"/>
      <c r="AF26" s="1858"/>
      <c r="AG26" s="1859"/>
      <c r="AH26" s="1857"/>
      <c r="AI26" s="1858"/>
      <c r="AJ26" s="1858"/>
      <c r="AK26" s="1858"/>
      <c r="AL26" s="1858"/>
      <c r="AM26" s="1859"/>
      <c r="AN26" s="1857"/>
      <c r="AO26" s="1858"/>
      <c r="AP26" s="1858"/>
      <c r="AQ26" s="1858"/>
      <c r="AR26" s="1858"/>
      <c r="AS26" s="1859"/>
      <c r="AT26" s="1854">
        <f t="shared" si="1"/>
        <v>0</v>
      </c>
      <c r="AU26" s="1855"/>
      <c r="AV26" s="1855"/>
      <c r="AW26" s="1855"/>
      <c r="AX26" s="1855"/>
      <c r="AY26" s="1856"/>
      <c r="AZ26" s="971"/>
      <c r="BA26" s="971"/>
      <c r="BB26" s="971"/>
      <c r="BC26" s="971"/>
      <c r="BD26" s="971"/>
      <c r="BE26" s="974"/>
    </row>
    <row r="27" spans="1:58" ht="14.5">
      <c r="A27" s="971"/>
      <c r="B27" s="1848">
        <v>1.2</v>
      </c>
      <c r="C27" s="1849"/>
      <c r="D27" s="1849"/>
      <c r="E27" s="1849"/>
      <c r="F27" s="1849"/>
      <c r="G27" s="1849"/>
      <c r="H27" s="1849"/>
      <c r="I27" s="1850"/>
      <c r="J27" s="1857"/>
      <c r="K27" s="1858"/>
      <c r="L27" s="1858"/>
      <c r="M27" s="1858"/>
      <c r="N27" s="1858"/>
      <c r="O27" s="1859"/>
      <c r="P27" s="1857"/>
      <c r="Q27" s="1858"/>
      <c r="R27" s="1858"/>
      <c r="S27" s="1858"/>
      <c r="T27" s="1858"/>
      <c r="U27" s="1859"/>
      <c r="V27" s="1857"/>
      <c r="W27" s="1858"/>
      <c r="X27" s="1858"/>
      <c r="Y27" s="1858"/>
      <c r="Z27" s="1858"/>
      <c r="AA27" s="1859"/>
      <c r="AB27" s="1857"/>
      <c r="AC27" s="1858"/>
      <c r="AD27" s="1858"/>
      <c r="AE27" s="1858"/>
      <c r="AF27" s="1858"/>
      <c r="AG27" s="1859"/>
      <c r="AH27" s="1857"/>
      <c r="AI27" s="1858"/>
      <c r="AJ27" s="1858"/>
      <c r="AK27" s="1858"/>
      <c r="AL27" s="1858"/>
      <c r="AM27" s="1859"/>
      <c r="AN27" s="1857"/>
      <c r="AO27" s="1858"/>
      <c r="AP27" s="1858"/>
      <c r="AQ27" s="1858"/>
      <c r="AR27" s="1858"/>
      <c r="AS27" s="1859"/>
      <c r="AT27" s="1854">
        <f t="shared" si="1"/>
        <v>0</v>
      </c>
      <c r="AU27" s="1855"/>
      <c r="AV27" s="1855"/>
      <c r="AW27" s="1855"/>
      <c r="AX27" s="1855"/>
      <c r="AY27" s="1856"/>
      <c r="AZ27" s="971"/>
      <c r="BA27" s="971"/>
      <c r="BB27" s="971"/>
      <c r="BC27" s="971"/>
      <c r="BD27" s="971"/>
      <c r="BE27" s="974"/>
    </row>
    <row r="28" spans="1:58" ht="15" thickBot="1">
      <c r="A28" s="971"/>
      <c r="B28" s="1860" t="s">
        <v>1915</v>
      </c>
      <c r="C28" s="1861"/>
      <c r="D28" s="1861"/>
      <c r="E28" s="1861"/>
      <c r="F28" s="1861"/>
      <c r="G28" s="1861"/>
      <c r="H28" s="1861"/>
      <c r="I28" s="1862"/>
      <c r="J28" s="1863">
        <f>SUM(P28:AS28)</f>
        <v>1</v>
      </c>
      <c r="K28" s="1864"/>
      <c r="L28" s="1864"/>
      <c r="M28" s="1864"/>
      <c r="N28" s="1864"/>
      <c r="O28" s="1865"/>
      <c r="P28" s="1863">
        <f>_xlfn.IFNA(VLOOKUP(P$18,Application!$J$773:$S$776,6,FALSE), 0)</f>
        <v>0</v>
      </c>
      <c r="Q28" s="1864"/>
      <c r="R28" s="1864"/>
      <c r="S28" s="1864"/>
      <c r="T28" s="1864"/>
      <c r="U28" s="1865"/>
      <c r="V28" s="1863">
        <f>_xlfn.IFNA(VLOOKUP(V$18,Application!$J$773:$S$776,6,FALSE), 0)</f>
        <v>0</v>
      </c>
      <c r="W28" s="1864"/>
      <c r="X28" s="1864"/>
      <c r="Y28" s="1864"/>
      <c r="Z28" s="1864"/>
      <c r="AA28" s="1865"/>
      <c r="AB28" s="1863">
        <f>_xlfn.IFNA(VLOOKUP(AB$18,Application!$J$773:$S$776,6,FALSE), 0)</f>
        <v>0</v>
      </c>
      <c r="AC28" s="1864"/>
      <c r="AD28" s="1864"/>
      <c r="AE28" s="1864"/>
      <c r="AF28" s="1864"/>
      <c r="AG28" s="1865"/>
      <c r="AH28" s="1863">
        <f>_xlfn.IFNA(VLOOKUP(AH$18,Application!$J$773:$S$776,6,FALSE), 0)</f>
        <v>1</v>
      </c>
      <c r="AI28" s="1864"/>
      <c r="AJ28" s="1864"/>
      <c r="AK28" s="1864"/>
      <c r="AL28" s="1864"/>
      <c r="AM28" s="1865"/>
      <c r="AN28" s="1863">
        <f>_xlfn.IFNA(VLOOKUP(AN$18,Application!$J$773:$S$776,6,FALSE), 0)</f>
        <v>0</v>
      </c>
      <c r="AO28" s="1864"/>
      <c r="AP28" s="1864"/>
      <c r="AQ28" s="1864"/>
      <c r="AR28" s="1864"/>
      <c r="AS28" s="1865"/>
      <c r="AT28" s="1866">
        <f t="shared" si="1"/>
        <v>1.8867924528301886E-2</v>
      </c>
      <c r="AU28" s="1867"/>
      <c r="AV28" s="1867"/>
      <c r="AW28" s="1867"/>
      <c r="AX28" s="1867"/>
      <c r="AY28" s="1868"/>
      <c r="AZ28" s="971"/>
      <c r="BA28" s="971"/>
      <c r="BB28" s="971"/>
      <c r="BC28" s="971"/>
      <c r="BD28" s="971"/>
      <c r="BE28" s="974"/>
    </row>
    <row r="29" spans="1:58" ht="15" thickBot="1">
      <c r="A29" s="971"/>
      <c r="B29" s="1897" t="s">
        <v>1913</v>
      </c>
      <c r="C29" s="1870"/>
      <c r="D29" s="1870"/>
      <c r="E29" s="1870"/>
      <c r="F29" s="1870"/>
      <c r="G29" s="1870"/>
      <c r="H29" s="1870"/>
      <c r="I29" s="1871"/>
      <c r="J29" s="1869">
        <f>SUM(J19:O28)</f>
        <v>53</v>
      </c>
      <c r="K29" s="1870"/>
      <c r="L29" s="1870"/>
      <c r="M29" s="1870"/>
      <c r="N29" s="1870"/>
      <c r="O29" s="1871"/>
      <c r="P29" s="1869">
        <f>SUM(P19:U28)</f>
        <v>0</v>
      </c>
      <c r="Q29" s="1870"/>
      <c r="R29" s="1870"/>
      <c r="S29" s="1870"/>
      <c r="T29" s="1870"/>
      <c r="U29" s="1871"/>
      <c r="V29" s="1869">
        <f>SUM(V19:AA28)</f>
        <v>6</v>
      </c>
      <c r="W29" s="1870"/>
      <c r="X29" s="1870"/>
      <c r="Y29" s="1870"/>
      <c r="Z29" s="1870"/>
      <c r="AA29" s="1871"/>
      <c r="AB29" s="1869">
        <f>SUM(AB19:AG28)</f>
        <v>24</v>
      </c>
      <c r="AC29" s="1870"/>
      <c r="AD29" s="1870"/>
      <c r="AE29" s="1870"/>
      <c r="AF29" s="1870"/>
      <c r="AG29" s="1871"/>
      <c r="AH29" s="1869">
        <f>SUM(AH19:AM28)</f>
        <v>23</v>
      </c>
      <c r="AI29" s="1870"/>
      <c r="AJ29" s="1870"/>
      <c r="AK29" s="1870"/>
      <c r="AL29" s="1870"/>
      <c r="AM29" s="1871"/>
      <c r="AN29" s="1869">
        <f>SUM(AN19:AS28)</f>
        <v>0</v>
      </c>
      <c r="AO29" s="1870"/>
      <c r="AP29" s="1870"/>
      <c r="AQ29" s="1870"/>
      <c r="AR29" s="1870"/>
      <c r="AS29" s="1871"/>
      <c r="AT29" s="1872">
        <f t="shared" si="1"/>
        <v>1</v>
      </c>
      <c r="AU29" s="1873"/>
      <c r="AV29" s="1873"/>
      <c r="AW29" s="1873"/>
      <c r="AX29" s="1873"/>
      <c r="AY29" s="1874"/>
      <c r="AZ29" s="971"/>
      <c r="BA29" s="971"/>
      <c r="BB29" s="971"/>
      <c r="BC29" s="971"/>
      <c r="BD29" s="971"/>
      <c r="BE29" s="974"/>
    </row>
    <row r="30" spans="1:58" ht="15" thickBot="1">
      <c r="A30" s="970"/>
      <c r="B30" s="971"/>
      <c r="C30" s="971"/>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971"/>
      <c r="AM30" s="971"/>
      <c r="AN30" s="971"/>
      <c r="AO30" s="971"/>
      <c r="AP30" s="971"/>
      <c r="AQ30" s="971"/>
      <c r="AR30" s="971"/>
      <c r="AS30" s="971"/>
      <c r="AT30" s="971"/>
      <c r="AU30" s="971"/>
      <c r="AV30" s="971"/>
      <c r="AW30" s="971"/>
      <c r="AX30" s="971"/>
      <c r="AY30" s="971"/>
      <c r="AZ30" s="971"/>
      <c r="BA30" s="971"/>
      <c r="BB30" s="971"/>
      <c r="BC30" s="971"/>
      <c r="BD30" s="971"/>
      <c r="BE30" s="974"/>
    </row>
    <row r="31" spans="1:58" ht="15" thickBot="1">
      <c r="A31" s="971"/>
      <c r="B31" s="1875" t="s">
        <v>1916</v>
      </c>
      <c r="C31" s="1876"/>
      <c r="D31" s="1876"/>
      <c r="E31" s="1876"/>
      <c r="F31" s="1876"/>
      <c r="G31" s="1876"/>
      <c r="H31" s="1876"/>
      <c r="I31" s="1876"/>
      <c r="J31" s="1876"/>
      <c r="K31" s="1876"/>
      <c r="L31" s="1876"/>
      <c r="M31" s="1876"/>
      <c r="N31" s="1876"/>
      <c r="O31" s="1876"/>
      <c r="P31" s="1876"/>
      <c r="Q31" s="1876"/>
      <c r="R31" s="1876"/>
      <c r="S31" s="1876"/>
      <c r="T31" s="1876"/>
      <c r="U31" s="1876"/>
      <c r="V31" s="1876"/>
      <c r="W31" s="1876"/>
      <c r="X31" s="1876"/>
      <c r="Y31" s="1876"/>
      <c r="Z31" s="1876"/>
      <c r="AA31" s="1876"/>
      <c r="AB31" s="1876"/>
      <c r="AC31" s="1876"/>
      <c r="AD31" s="1876"/>
      <c r="AE31" s="1876"/>
      <c r="AF31" s="1876"/>
      <c r="AG31" s="1876"/>
      <c r="AH31" s="1876"/>
      <c r="AI31" s="1876"/>
      <c r="AJ31" s="1876"/>
      <c r="AK31" s="1876"/>
      <c r="AL31" s="1876"/>
      <c r="AM31" s="1876"/>
      <c r="AN31" s="1876"/>
      <c r="AO31" s="1876"/>
      <c r="AP31" s="1876"/>
      <c r="AQ31" s="1876"/>
      <c r="AR31" s="1876"/>
      <c r="AS31" s="1876"/>
      <c r="AT31" s="1876"/>
      <c r="AU31" s="1876"/>
      <c r="AV31" s="1876"/>
      <c r="AW31" s="1876"/>
      <c r="AX31" s="1876"/>
      <c r="AY31" s="1876"/>
      <c r="AZ31" s="1876"/>
      <c r="BA31" s="1876"/>
      <c r="BB31" s="1876"/>
      <c r="BC31" s="1876"/>
      <c r="BD31" s="1877"/>
      <c r="BE31" s="974"/>
    </row>
    <row r="32" spans="1:58" ht="15" thickBot="1">
      <c r="A32" s="971"/>
      <c r="B32" s="1878" t="s">
        <v>1917</v>
      </c>
      <c r="C32" s="1879"/>
      <c r="D32" s="1879"/>
      <c r="E32" s="1879"/>
      <c r="F32" s="1879"/>
      <c r="G32" s="1879"/>
      <c r="H32" s="1879"/>
      <c r="I32" s="1879"/>
      <c r="J32" s="1882" t="s">
        <v>1918</v>
      </c>
      <c r="K32" s="1883"/>
      <c r="L32" s="1883"/>
      <c r="M32" s="1883"/>
      <c r="N32" s="1882" t="s">
        <v>1919</v>
      </c>
      <c r="O32" s="1883"/>
      <c r="P32" s="1883"/>
      <c r="Q32" s="1885"/>
      <c r="R32" s="1887" t="s">
        <v>1920</v>
      </c>
      <c r="S32" s="1888"/>
      <c r="T32" s="1888"/>
      <c r="U32" s="1888"/>
      <c r="V32" s="1888"/>
      <c r="W32" s="1888"/>
      <c r="X32" s="1888"/>
      <c r="Y32" s="1888"/>
      <c r="Z32" s="1888"/>
      <c r="AA32" s="1888"/>
      <c r="AB32" s="1888"/>
      <c r="AC32" s="1888"/>
      <c r="AD32" s="1888"/>
      <c r="AE32" s="1888"/>
      <c r="AF32" s="1888"/>
      <c r="AG32" s="1888"/>
      <c r="AH32" s="1888"/>
      <c r="AI32" s="1888"/>
      <c r="AJ32" s="1888"/>
      <c r="AK32" s="1888"/>
      <c r="AL32" s="1888"/>
      <c r="AM32" s="1888"/>
      <c r="AN32" s="1888"/>
      <c r="AO32" s="1888"/>
      <c r="AP32" s="1888"/>
      <c r="AQ32" s="1888"/>
      <c r="AR32" s="1888"/>
      <c r="AS32" s="1888"/>
      <c r="AT32" s="1888"/>
      <c r="AU32" s="1888"/>
      <c r="AV32" s="1888"/>
      <c r="AW32" s="1888"/>
      <c r="AX32" s="1888"/>
      <c r="AY32" s="1888"/>
      <c r="AZ32" s="1888"/>
      <c r="BA32" s="1888"/>
      <c r="BB32" s="1888"/>
      <c r="BC32" s="1888"/>
      <c r="BD32" s="1889"/>
      <c r="BE32" s="974"/>
    </row>
    <row r="33" spans="1:58" ht="15" customHeight="1">
      <c r="A33" s="971"/>
      <c r="B33" s="1880"/>
      <c r="C33" s="1881"/>
      <c r="D33" s="1881"/>
      <c r="E33" s="1881"/>
      <c r="F33" s="1881"/>
      <c r="G33" s="1881"/>
      <c r="H33" s="1881"/>
      <c r="I33" s="1881"/>
      <c r="J33" s="1884"/>
      <c r="K33" s="1884"/>
      <c r="L33" s="1884"/>
      <c r="M33" s="1884"/>
      <c r="N33" s="1884"/>
      <c r="O33" s="1884"/>
      <c r="P33" s="1884"/>
      <c r="Q33" s="1886"/>
      <c r="R33" s="1890" t="s">
        <v>1921</v>
      </c>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91"/>
      <c r="AO33" s="1891"/>
      <c r="AP33" s="1891"/>
      <c r="AQ33" s="1891"/>
      <c r="AR33" s="1891"/>
      <c r="AS33" s="1891"/>
      <c r="AT33" s="1891"/>
      <c r="AU33" s="1891"/>
      <c r="AV33" s="1891"/>
      <c r="AW33" s="1891"/>
      <c r="AX33" s="1891"/>
      <c r="AY33" s="1891"/>
      <c r="AZ33" s="1891"/>
      <c r="BA33" s="1891"/>
      <c r="BB33" s="1891"/>
      <c r="BC33" s="1891"/>
      <c r="BD33" s="1892"/>
      <c r="BE33" s="974"/>
    </row>
    <row r="34" spans="1:58" ht="15.75" customHeight="1" thickBot="1">
      <c r="A34" s="971"/>
      <c r="B34" s="1880"/>
      <c r="C34" s="1881"/>
      <c r="D34" s="1881"/>
      <c r="E34" s="1881"/>
      <c r="F34" s="1881"/>
      <c r="G34" s="1881"/>
      <c r="H34" s="1881"/>
      <c r="I34" s="1881"/>
      <c r="J34" s="1884"/>
      <c r="K34" s="1884"/>
      <c r="L34" s="1884"/>
      <c r="M34" s="1884"/>
      <c r="N34" s="1884"/>
      <c r="O34" s="1884"/>
      <c r="P34" s="1884"/>
      <c r="Q34" s="1886"/>
      <c r="R34" s="1893"/>
      <c r="S34" s="1894"/>
      <c r="T34" s="1894"/>
      <c r="U34" s="1894"/>
      <c r="V34" s="1894"/>
      <c r="W34" s="1894"/>
      <c r="X34" s="1894"/>
      <c r="Y34" s="1894"/>
      <c r="Z34" s="1894"/>
      <c r="AA34" s="1894"/>
      <c r="AB34" s="1894"/>
      <c r="AC34" s="1894"/>
      <c r="AD34" s="1894"/>
      <c r="AE34" s="1894"/>
      <c r="AF34" s="1894"/>
      <c r="AG34" s="1894"/>
      <c r="AH34" s="1894"/>
      <c r="AI34" s="1894"/>
      <c r="AJ34" s="1894"/>
      <c r="AK34" s="1894"/>
      <c r="AL34" s="1894"/>
      <c r="AM34" s="1894"/>
      <c r="AN34" s="1894"/>
      <c r="AO34" s="1894"/>
      <c r="AP34" s="1894"/>
      <c r="AQ34" s="1894"/>
      <c r="AR34" s="1894"/>
      <c r="AS34" s="1894"/>
      <c r="AT34" s="1894"/>
      <c r="AU34" s="1894"/>
      <c r="AV34" s="1894"/>
      <c r="AW34" s="1894"/>
      <c r="AX34" s="1894"/>
      <c r="AY34" s="1894"/>
      <c r="AZ34" s="1894"/>
      <c r="BA34" s="1894"/>
      <c r="BB34" s="1894"/>
      <c r="BC34" s="1894"/>
      <c r="BD34" s="1895"/>
      <c r="BE34" s="974"/>
    </row>
    <row r="35" spans="1:58" ht="15.75" customHeight="1">
      <c r="A35" s="971"/>
      <c r="B35" s="1880"/>
      <c r="C35" s="1881"/>
      <c r="D35" s="1881"/>
      <c r="E35" s="1881"/>
      <c r="F35" s="1881"/>
      <c r="G35" s="1881"/>
      <c r="H35" s="1881"/>
      <c r="I35" s="1881"/>
      <c r="J35" s="1884"/>
      <c r="K35" s="1884"/>
      <c r="L35" s="1884"/>
      <c r="M35" s="1884"/>
      <c r="N35" s="1884"/>
      <c r="O35" s="1884"/>
      <c r="P35" s="1884"/>
      <c r="Q35" s="1884"/>
      <c r="R35" s="1896">
        <v>0.3</v>
      </c>
      <c r="S35" s="1896"/>
      <c r="T35" s="1896"/>
      <c r="U35" s="1896"/>
      <c r="V35" s="1896">
        <v>0.4</v>
      </c>
      <c r="W35" s="1896"/>
      <c r="X35" s="1896"/>
      <c r="Y35" s="1896"/>
      <c r="Z35" s="1896">
        <v>0.5</v>
      </c>
      <c r="AA35" s="1896"/>
      <c r="AB35" s="1896"/>
      <c r="AC35" s="1896"/>
      <c r="AD35" s="1896">
        <v>0.6</v>
      </c>
      <c r="AE35" s="1896"/>
      <c r="AF35" s="1896"/>
      <c r="AG35" s="1896"/>
      <c r="AH35" s="1896">
        <v>0.7</v>
      </c>
      <c r="AI35" s="1896"/>
      <c r="AJ35" s="1896"/>
      <c r="AK35" s="1896"/>
      <c r="AL35" s="1901">
        <v>0.8</v>
      </c>
      <c r="AM35" s="1902"/>
      <c r="AN35" s="1902"/>
      <c r="AO35" s="1903"/>
      <c r="AP35" s="1904">
        <v>1.2</v>
      </c>
      <c r="AQ35" s="1905"/>
      <c r="AR35" s="1906"/>
      <c r="AS35" s="1898" t="s">
        <v>1922</v>
      </c>
      <c r="AT35" s="1899"/>
      <c r="AU35" s="1899"/>
      <c r="AV35" s="1899"/>
      <c r="AW35" s="1899"/>
      <c r="AX35" s="1907"/>
      <c r="AY35" s="1898" t="s">
        <v>1923</v>
      </c>
      <c r="AZ35" s="1899"/>
      <c r="BA35" s="1899"/>
      <c r="BB35" s="1899"/>
      <c r="BC35" s="1899"/>
      <c r="BD35" s="1900"/>
      <c r="BE35" s="974"/>
    </row>
    <row r="36" spans="1:58" ht="15.75" customHeight="1">
      <c r="A36" s="971"/>
      <c r="B36" s="1917" t="s">
        <v>1924</v>
      </c>
      <c r="C36" s="1918"/>
      <c r="D36" s="1918"/>
      <c r="E36" s="1918"/>
      <c r="F36" s="1918"/>
      <c r="G36" s="1918"/>
      <c r="H36" s="1918"/>
      <c r="I36" s="1918"/>
      <c r="J36" s="1919" t="s">
        <v>1925</v>
      </c>
      <c r="K36" s="1919"/>
      <c r="L36" s="1919"/>
      <c r="M36" s="1919"/>
      <c r="N36" s="1919">
        <v>55</v>
      </c>
      <c r="O36" s="1919"/>
      <c r="P36" s="1919"/>
      <c r="Q36" s="1919"/>
      <c r="R36" s="1920"/>
      <c r="S36" s="1920"/>
      <c r="T36" s="1920"/>
      <c r="U36" s="1920"/>
      <c r="V36" s="1920"/>
      <c r="W36" s="1920"/>
      <c r="X36" s="1920"/>
      <c r="Y36" s="1920"/>
      <c r="Z36" s="1920"/>
      <c r="AA36" s="1920"/>
      <c r="AB36" s="1920"/>
      <c r="AC36" s="1920"/>
      <c r="AD36" s="1920"/>
      <c r="AE36" s="1920"/>
      <c r="AF36" s="1920"/>
      <c r="AG36" s="1920"/>
      <c r="AH36" s="1920"/>
      <c r="AI36" s="1920"/>
      <c r="AJ36" s="1920"/>
      <c r="AK36" s="1920"/>
      <c r="AL36" s="1908"/>
      <c r="AM36" s="1909"/>
      <c r="AN36" s="1909"/>
      <c r="AO36" s="1910"/>
      <c r="AP36" s="1908"/>
      <c r="AQ36" s="1909"/>
      <c r="AR36" s="1910"/>
      <c r="AS36" s="1911">
        <f t="shared" ref="AS36:AS47" si="2">SUM(R36:AR36)</f>
        <v>0</v>
      </c>
      <c r="AT36" s="1912"/>
      <c r="AU36" s="1912"/>
      <c r="AV36" s="1912"/>
      <c r="AW36" s="1912"/>
      <c r="AX36" s="1913"/>
      <c r="AY36" s="1914">
        <f t="shared" ref="AY36:AY47" si="3">AS36/$J$29</f>
        <v>0</v>
      </c>
      <c r="AZ36" s="1915"/>
      <c r="BA36" s="1915"/>
      <c r="BB36" s="1915"/>
      <c r="BC36" s="1915"/>
      <c r="BD36" s="1916"/>
      <c r="BE36" s="974"/>
    </row>
    <row r="37" spans="1:58" ht="15.75" customHeight="1">
      <c r="A37" s="971"/>
      <c r="B37" s="1917" t="s">
        <v>1926</v>
      </c>
      <c r="C37" s="1918"/>
      <c r="D37" s="1918"/>
      <c r="E37" s="1918"/>
      <c r="F37" s="1918"/>
      <c r="G37" s="1918"/>
      <c r="H37" s="1918"/>
      <c r="I37" s="1918"/>
      <c r="J37" s="1919" t="s">
        <v>1927</v>
      </c>
      <c r="K37" s="1919"/>
      <c r="L37" s="1919"/>
      <c r="M37" s="1919"/>
      <c r="N37" s="1919">
        <v>55</v>
      </c>
      <c r="O37" s="1919"/>
      <c r="P37" s="1919"/>
      <c r="Q37" s="1919"/>
      <c r="R37" s="1920"/>
      <c r="S37" s="1920"/>
      <c r="T37" s="1920"/>
      <c r="U37" s="1920"/>
      <c r="V37" s="1920"/>
      <c r="W37" s="1920"/>
      <c r="X37" s="1920"/>
      <c r="Y37" s="1920"/>
      <c r="Z37" s="1920"/>
      <c r="AA37" s="1920"/>
      <c r="AB37" s="1920"/>
      <c r="AC37" s="1920"/>
      <c r="AD37" s="1920"/>
      <c r="AE37" s="1920"/>
      <c r="AF37" s="1920"/>
      <c r="AG37" s="1920"/>
      <c r="AH37" s="1920"/>
      <c r="AI37" s="1920"/>
      <c r="AJ37" s="1920"/>
      <c r="AK37" s="1920"/>
      <c r="AL37" s="1908"/>
      <c r="AM37" s="1909"/>
      <c r="AN37" s="1909"/>
      <c r="AO37" s="1910"/>
      <c r="AP37" s="1908"/>
      <c r="AQ37" s="1909"/>
      <c r="AR37" s="1910"/>
      <c r="AS37" s="1911">
        <f t="shared" si="2"/>
        <v>0</v>
      </c>
      <c r="AT37" s="1912"/>
      <c r="AU37" s="1912"/>
      <c r="AV37" s="1912"/>
      <c r="AW37" s="1912"/>
      <c r="AX37" s="1913"/>
      <c r="AY37" s="1914">
        <f t="shared" si="3"/>
        <v>0</v>
      </c>
      <c r="AZ37" s="1915"/>
      <c r="BA37" s="1915"/>
      <c r="BB37" s="1915"/>
      <c r="BC37" s="1915"/>
      <c r="BD37" s="1916"/>
      <c r="BE37" s="974"/>
    </row>
    <row r="38" spans="1:58" ht="15.75" customHeight="1">
      <c r="A38" s="971"/>
      <c r="B38" s="1917" t="s">
        <v>1928</v>
      </c>
      <c r="C38" s="1918"/>
      <c r="D38" s="1918"/>
      <c r="E38" s="1918"/>
      <c r="F38" s="1918"/>
      <c r="G38" s="1918"/>
      <c r="H38" s="1918"/>
      <c r="I38" s="1918"/>
      <c r="J38" s="1919" t="s">
        <v>1929</v>
      </c>
      <c r="K38" s="1919"/>
      <c r="L38" s="1919"/>
      <c r="M38" s="1919"/>
      <c r="N38" s="1919">
        <v>55</v>
      </c>
      <c r="O38" s="1919"/>
      <c r="P38" s="1919"/>
      <c r="Q38" s="1919"/>
      <c r="R38" s="1920"/>
      <c r="S38" s="1920"/>
      <c r="T38" s="1920"/>
      <c r="U38" s="1920"/>
      <c r="V38" s="1920"/>
      <c r="W38" s="1920"/>
      <c r="X38" s="1920"/>
      <c r="Y38" s="1920"/>
      <c r="Z38" s="1920"/>
      <c r="AA38" s="1920"/>
      <c r="AB38" s="1920"/>
      <c r="AC38" s="1920"/>
      <c r="AD38" s="1920"/>
      <c r="AE38" s="1920"/>
      <c r="AF38" s="1920"/>
      <c r="AG38" s="1920"/>
      <c r="AH38" s="1920"/>
      <c r="AI38" s="1920"/>
      <c r="AJ38" s="1920"/>
      <c r="AK38" s="1920"/>
      <c r="AL38" s="1908"/>
      <c r="AM38" s="1909"/>
      <c r="AN38" s="1909"/>
      <c r="AO38" s="1910"/>
      <c r="AP38" s="1908"/>
      <c r="AQ38" s="1909"/>
      <c r="AR38" s="1910"/>
      <c r="AS38" s="1911">
        <f t="shared" si="2"/>
        <v>0</v>
      </c>
      <c r="AT38" s="1912"/>
      <c r="AU38" s="1912"/>
      <c r="AV38" s="1912"/>
      <c r="AW38" s="1912"/>
      <c r="AX38" s="1913"/>
      <c r="AY38" s="1914">
        <f t="shared" si="3"/>
        <v>0</v>
      </c>
      <c r="AZ38" s="1915"/>
      <c r="BA38" s="1915"/>
      <c r="BB38" s="1915"/>
      <c r="BC38" s="1915"/>
      <c r="BD38" s="1916"/>
      <c r="BE38" s="974"/>
    </row>
    <row r="39" spans="1:58" ht="15.75" customHeight="1">
      <c r="A39" s="971"/>
      <c r="B39" s="1917" t="s">
        <v>1930</v>
      </c>
      <c r="C39" s="1918"/>
      <c r="D39" s="1918"/>
      <c r="E39" s="1918"/>
      <c r="F39" s="1918"/>
      <c r="G39" s="1918"/>
      <c r="H39" s="1918"/>
      <c r="I39" s="1918"/>
      <c r="J39" s="1919"/>
      <c r="K39" s="1919"/>
      <c r="L39" s="1919"/>
      <c r="M39" s="1919"/>
      <c r="N39" s="1919"/>
      <c r="O39" s="1919"/>
      <c r="P39" s="1919"/>
      <c r="Q39" s="1919"/>
      <c r="R39" s="1920"/>
      <c r="S39" s="1920"/>
      <c r="T39" s="1920"/>
      <c r="U39" s="1920"/>
      <c r="V39" s="1920"/>
      <c r="W39" s="1920"/>
      <c r="X39" s="1920"/>
      <c r="Y39" s="1920"/>
      <c r="Z39" s="1920"/>
      <c r="AA39" s="1920"/>
      <c r="AB39" s="1920"/>
      <c r="AC39" s="1920"/>
      <c r="AD39" s="1920"/>
      <c r="AE39" s="1920"/>
      <c r="AF39" s="1920"/>
      <c r="AG39" s="1920"/>
      <c r="AH39" s="1920"/>
      <c r="AI39" s="1920"/>
      <c r="AJ39" s="1920"/>
      <c r="AK39" s="1920"/>
      <c r="AL39" s="1908"/>
      <c r="AM39" s="1909"/>
      <c r="AN39" s="1909"/>
      <c r="AO39" s="1910"/>
      <c r="AP39" s="1908"/>
      <c r="AQ39" s="1909"/>
      <c r="AR39" s="1910"/>
      <c r="AS39" s="1911">
        <f t="shared" si="2"/>
        <v>0</v>
      </c>
      <c r="AT39" s="1912"/>
      <c r="AU39" s="1912"/>
      <c r="AV39" s="1912"/>
      <c r="AW39" s="1912"/>
      <c r="AX39" s="1913"/>
      <c r="AY39" s="1914">
        <f t="shared" si="3"/>
        <v>0</v>
      </c>
      <c r="AZ39" s="1915"/>
      <c r="BA39" s="1915"/>
      <c r="BB39" s="1915"/>
      <c r="BC39" s="1915"/>
      <c r="BD39" s="1916"/>
      <c r="BE39" s="974"/>
    </row>
    <row r="40" spans="1:58" ht="15.75" customHeight="1">
      <c r="A40" s="971"/>
      <c r="B40" s="1917" t="s">
        <v>1930</v>
      </c>
      <c r="C40" s="1918"/>
      <c r="D40" s="1918"/>
      <c r="E40" s="1918"/>
      <c r="F40" s="1918"/>
      <c r="G40" s="1918"/>
      <c r="H40" s="1918"/>
      <c r="I40" s="1918"/>
      <c r="J40" s="1919"/>
      <c r="K40" s="1919"/>
      <c r="L40" s="1919"/>
      <c r="M40" s="1919"/>
      <c r="N40" s="1919"/>
      <c r="O40" s="1919"/>
      <c r="P40" s="1919"/>
      <c r="Q40" s="1919"/>
      <c r="R40" s="1920"/>
      <c r="S40" s="1920"/>
      <c r="T40" s="1920"/>
      <c r="U40" s="1920"/>
      <c r="V40" s="1920"/>
      <c r="W40" s="1920"/>
      <c r="X40" s="1920"/>
      <c r="Y40" s="1920"/>
      <c r="Z40" s="1920"/>
      <c r="AA40" s="1920"/>
      <c r="AB40" s="1920"/>
      <c r="AC40" s="1920"/>
      <c r="AD40" s="1920"/>
      <c r="AE40" s="1920"/>
      <c r="AF40" s="1920"/>
      <c r="AG40" s="1920"/>
      <c r="AH40" s="1920"/>
      <c r="AI40" s="1920"/>
      <c r="AJ40" s="1920"/>
      <c r="AK40" s="1920"/>
      <c r="AL40" s="1908"/>
      <c r="AM40" s="1909"/>
      <c r="AN40" s="1909"/>
      <c r="AO40" s="1910"/>
      <c r="AP40" s="1908"/>
      <c r="AQ40" s="1909"/>
      <c r="AR40" s="1910"/>
      <c r="AS40" s="1911">
        <f t="shared" si="2"/>
        <v>0</v>
      </c>
      <c r="AT40" s="1912"/>
      <c r="AU40" s="1912"/>
      <c r="AV40" s="1912"/>
      <c r="AW40" s="1912"/>
      <c r="AX40" s="1913"/>
      <c r="AY40" s="1914">
        <f t="shared" si="3"/>
        <v>0</v>
      </c>
      <c r="AZ40" s="1915"/>
      <c r="BA40" s="1915"/>
      <c r="BB40" s="1915"/>
      <c r="BC40" s="1915"/>
      <c r="BD40" s="1916"/>
      <c r="BE40" s="974"/>
    </row>
    <row r="41" spans="1:58" ht="15.75" customHeight="1">
      <c r="A41" s="971"/>
      <c r="B41" s="1917" t="s">
        <v>1931</v>
      </c>
      <c r="C41" s="1918"/>
      <c r="D41" s="1918"/>
      <c r="E41" s="1918"/>
      <c r="F41" s="1918"/>
      <c r="G41" s="1918"/>
      <c r="H41" s="1918"/>
      <c r="I41" s="1918"/>
      <c r="J41" s="1919"/>
      <c r="K41" s="1919"/>
      <c r="L41" s="1919"/>
      <c r="M41" s="1919"/>
      <c r="N41" s="1919"/>
      <c r="O41" s="1919"/>
      <c r="P41" s="1919"/>
      <c r="Q41" s="1919"/>
      <c r="R41" s="1920"/>
      <c r="S41" s="1920"/>
      <c r="T41" s="1920"/>
      <c r="U41" s="1920"/>
      <c r="V41" s="1920"/>
      <c r="W41" s="1920"/>
      <c r="X41" s="1920"/>
      <c r="Y41" s="1920"/>
      <c r="Z41" s="1920"/>
      <c r="AA41" s="1920"/>
      <c r="AB41" s="1920"/>
      <c r="AC41" s="1920"/>
      <c r="AD41" s="1920"/>
      <c r="AE41" s="1920"/>
      <c r="AF41" s="1920"/>
      <c r="AG41" s="1920"/>
      <c r="AH41" s="1920"/>
      <c r="AI41" s="1920"/>
      <c r="AJ41" s="1920"/>
      <c r="AK41" s="1920"/>
      <c r="AL41" s="1908"/>
      <c r="AM41" s="1909"/>
      <c r="AN41" s="1909"/>
      <c r="AO41" s="1910"/>
      <c r="AP41" s="1908"/>
      <c r="AQ41" s="1909"/>
      <c r="AR41" s="1910"/>
      <c r="AS41" s="1911">
        <f t="shared" si="2"/>
        <v>0</v>
      </c>
      <c r="AT41" s="1912"/>
      <c r="AU41" s="1912"/>
      <c r="AV41" s="1912"/>
      <c r="AW41" s="1912"/>
      <c r="AX41" s="1913"/>
      <c r="AY41" s="1914">
        <f t="shared" si="3"/>
        <v>0</v>
      </c>
      <c r="AZ41" s="1915"/>
      <c r="BA41" s="1915"/>
      <c r="BB41" s="1915"/>
      <c r="BC41" s="1915"/>
      <c r="BD41" s="1916"/>
      <c r="BE41" s="974"/>
    </row>
    <row r="42" spans="1:58" ht="15.75" customHeight="1">
      <c r="A42" s="971"/>
      <c r="B42" s="1917" t="s">
        <v>1931</v>
      </c>
      <c r="C42" s="1918"/>
      <c r="D42" s="1918"/>
      <c r="E42" s="1918"/>
      <c r="F42" s="1918"/>
      <c r="G42" s="1918"/>
      <c r="H42" s="1918"/>
      <c r="I42" s="1918"/>
      <c r="J42" s="1919"/>
      <c r="K42" s="1919"/>
      <c r="L42" s="1919"/>
      <c r="M42" s="1919"/>
      <c r="N42" s="1919"/>
      <c r="O42" s="1919"/>
      <c r="P42" s="1919"/>
      <c r="Q42" s="1919"/>
      <c r="R42" s="1920"/>
      <c r="S42" s="1920"/>
      <c r="T42" s="1920"/>
      <c r="U42" s="1920"/>
      <c r="V42" s="1920"/>
      <c r="W42" s="1920"/>
      <c r="X42" s="1920"/>
      <c r="Y42" s="1920"/>
      <c r="Z42" s="1920"/>
      <c r="AA42" s="1920"/>
      <c r="AB42" s="1920"/>
      <c r="AC42" s="1920"/>
      <c r="AD42" s="1920"/>
      <c r="AE42" s="1920"/>
      <c r="AF42" s="1920"/>
      <c r="AG42" s="1920"/>
      <c r="AH42" s="1920"/>
      <c r="AI42" s="1920"/>
      <c r="AJ42" s="1920"/>
      <c r="AK42" s="1920"/>
      <c r="AL42" s="1908"/>
      <c r="AM42" s="1909"/>
      <c r="AN42" s="1909"/>
      <c r="AO42" s="1910"/>
      <c r="AP42" s="1908"/>
      <c r="AQ42" s="1909"/>
      <c r="AR42" s="1910"/>
      <c r="AS42" s="1911">
        <f t="shared" si="2"/>
        <v>0</v>
      </c>
      <c r="AT42" s="1912"/>
      <c r="AU42" s="1912"/>
      <c r="AV42" s="1912"/>
      <c r="AW42" s="1912"/>
      <c r="AX42" s="1913"/>
      <c r="AY42" s="1914">
        <f t="shared" si="3"/>
        <v>0</v>
      </c>
      <c r="AZ42" s="1915"/>
      <c r="BA42" s="1915"/>
      <c r="BB42" s="1915"/>
      <c r="BC42" s="1915"/>
      <c r="BD42" s="1916"/>
      <c r="BE42" s="974"/>
    </row>
    <row r="43" spans="1:58" ht="15.75" customHeight="1">
      <c r="A43" s="971"/>
      <c r="B43" s="1921" t="s">
        <v>1932</v>
      </c>
      <c r="C43" s="1922"/>
      <c r="D43" s="1922"/>
      <c r="E43" s="1922"/>
      <c r="F43" s="1922"/>
      <c r="G43" s="1922"/>
      <c r="H43" s="1922"/>
      <c r="I43" s="1922"/>
      <c r="J43" s="1919"/>
      <c r="K43" s="1919"/>
      <c r="L43" s="1919"/>
      <c r="M43" s="1919"/>
      <c r="N43" s="1919"/>
      <c r="O43" s="1919"/>
      <c r="P43" s="1919"/>
      <c r="Q43" s="1919"/>
      <c r="R43" s="1920"/>
      <c r="S43" s="1920"/>
      <c r="T43" s="1920"/>
      <c r="U43" s="1920"/>
      <c r="V43" s="1920"/>
      <c r="W43" s="1920"/>
      <c r="X43" s="1920"/>
      <c r="Y43" s="1920"/>
      <c r="Z43" s="1920"/>
      <c r="AA43" s="1920"/>
      <c r="AB43" s="1920"/>
      <c r="AC43" s="1920"/>
      <c r="AD43" s="1920"/>
      <c r="AE43" s="1920"/>
      <c r="AF43" s="1920"/>
      <c r="AG43" s="1920"/>
      <c r="AH43" s="1920"/>
      <c r="AI43" s="1920"/>
      <c r="AJ43" s="1920"/>
      <c r="AK43" s="1920"/>
      <c r="AL43" s="1908"/>
      <c r="AM43" s="1909"/>
      <c r="AN43" s="1909"/>
      <c r="AO43" s="1910"/>
      <c r="AP43" s="1908"/>
      <c r="AQ43" s="1909"/>
      <c r="AR43" s="1910"/>
      <c r="AS43" s="1911">
        <f t="shared" si="2"/>
        <v>0</v>
      </c>
      <c r="AT43" s="1912"/>
      <c r="AU43" s="1912"/>
      <c r="AV43" s="1912"/>
      <c r="AW43" s="1912"/>
      <c r="AX43" s="1913"/>
      <c r="AY43" s="1914">
        <f t="shared" si="3"/>
        <v>0</v>
      </c>
      <c r="AZ43" s="1915"/>
      <c r="BA43" s="1915"/>
      <c r="BB43" s="1915"/>
      <c r="BC43" s="1915"/>
      <c r="BD43" s="1916"/>
      <c r="BE43" s="974"/>
    </row>
    <row r="44" spans="1:58" ht="15.75" customHeight="1">
      <c r="A44" s="971"/>
      <c r="B44" s="1921" t="s">
        <v>1933</v>
      </c>
      <c r="C44" s="1922"/>
      <c r="D44" s="1922"/>
      <c r="E44" s="1922"/>
      <c r="F44" s="1922"/>
      <c r="G44" s="1922"/>
      <c r="H44" s="1922"/>
      <c r="I44" s="1922"/>
      <c r="J44" s="1919"/>
      <c r="K44" s="1919"/>
      <c r="L44" s="1919"/>
      <c r="M44" s="1919"/>
      <c r="N44" s="1919"/>
      <c r="O44" s="1919"/>
      <c r="P44" s="1919"/>
      <c r="Q44" s="1919"/>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1908"/>
      <c r="AM44" s="1909"/>
      <c r="AN44" s="1909"/>
      <c r="AO44" s="1910"/>
      <c r="AP44" s="1908"/>
      <c r="AQ44" s="1909"/>
      <c r="AR44" s="1910"/>
      <c r="AS44" s="1911">
        <f t="shared" si="2"/>
        <v>0</v>
      </c>
      <c r="AT44" s="1912"/>
      <c r="AU44" s="1912"/>
      <c r="AV44" s="1912"/>
      <c r="AW44" s="1912"/>
      <c r="AX44" s="1913"/>
      <c r="AY44" s="1914">
        <f t="shared" si="3"/>
        <v>0</v>
      </c>
      <c r="AZ44" s="1915"/>
      <c r="BA44" s="1915"/>
      <c r="BB44" s="1915"/>
      <c r="BC44" s="1915"/>
      <c r="BD44" s="1916"/>
      <c r="BE44" s="974"/>
    </row>
    <row r="45" spans="1:58" ht="15.75" customHeight="1">
      <c r="A45" s="971"/>
      <c r="B45" s="1921" t="s">
        <v>1934</v>
      </c>
      <c r="C45" s="1922"/>
      <c r="D45" s="1922"/>
      <c r="E45" s="1922"/>
      <c r="F45" s="1922"/>
      <c r="G45" s="1922"/>
      <c r="H45" s="1922"/>
      <c r="I45" s="1922"/>
      <c r="J45" s="1919"/>
      <c r="K45" s="1919"/>
      <c r="L45" s="1919"/>
      <c r="M45" s="1919"/>
      <c r="N45" s="1919"/>
      <c r="O45" s="1919"/>
      <c r="P45" s="1919"/>
      <c r="Q45" s="1919"/>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1908"/>
      <c r="AM45" s="1909"/>
      <c r="AN45" s="1909"/>
      <c r="AO45" s="1910"/>
      <c r="AP45" s="1908"/>
      <c r="AQ45" s="1909"/>
      <c r="AR45" s="1910"/>
      <c r="AS45" s="1911">
        <f t="shared" si="2"/>
        <v>0</v>
      </c>
      <c r="AT45" s="1912"/>
      <c r="AU45" s="1912"/>
      <c r="AV45" s="1912"/>
      <c r="AW45" s="1912"/>
      <c r="AX45" s="1913"/>
      <c r="AY45" s="1914">
        <f t="shared" si="3"/>
        <v>0</v>
      </c>
      <c r="AZ45" s="1915"/>
      <c r="BA45" s="1915"/>
      <c r="BB45" s="1915"/>
      <c r="BC45" s="1915"/>
      <c r="BD45" s="1916"/>
      <c r="BE45" s="974"/>
    </row>
    <row r="46" spans="1:58" ht="15.75" customHeight="1">
      <c r="A46" s="971"/>
      <c r="B46" s="1921" t="s">
        <v>1935</v>
      </c>
      <c r="C46" s="1922"/>
      <c r="D46" s="1922"/>
      <c r="E46" s="1922"/>
      <c r="F46" s="1922"/>
      <c r="G46" s="1922"/>
      <c r="H46" s="1922"/>
      <c r="I46" s="1922"/>
      <c r="J46" s="1919"/>
      <c r="K46" s="1919"/>
      <c r="L46" s="1919"/>
      <c r="M46" s="1919"/>
      <c r="N46" s="1919">
        <v>99</v>
      </c>
      <c r="O46" s="1919"/>
      <c r="P46" s="1919"/>
      <c r="Q46" s="1919"/>
      <c r="R46" s="1920"/>
      <c r="S46" s="1920"/>
      <c r="T46" s="1920"/>
      <c r="U46" s="1920"/>
      <c r="V46" s="1920"/>
      <c r="W46" s="1920"/>
      <c r="X46" s="1920"/>
      <c r="Y46" s="1920"/>
      <c r="Z46" s="1920"/>
      <c r="AA46" s="1920"/>
      <c r="AB46" s="1920"/>
      <c r="AC46" s="1920"/>
      <c r="AD46" s="1920"/>
      <c r="AE46" s="1920"/>
      <c r="AF46" s="1920"/>
      <c r="AG46" s="1920"/>
      <c r="AH46" s="1920"/>
      <c r="AI46" s="1920"/>
      <c r="AJ46" s="1920"/>
      <c r="AK46" s="1920"/>
      <c r="AL46" s="1908"/>
      <c r="AM46" s="1909"/>
      <c r="AN46" s="1909"/>
      <c r="AO46" s="1910"/>
      <c r="AP46" s="1908"/>
      <c r="AQ46" s="1909"/>
      <c r="AR46" s="1910"/>
      <c r="AS46" s="1911">
        <f t="shared" si="2"/>
        <v>0</v>
      </c>
      <c r="AT46" s="1912"/>
      <c r="AU46" s="1912"/>
      <c r="AV46" s="1912"/>
      <c r="AW46" s="1912"/>
      <c r="AX46" s="1913"/>
      <c r="AY46" s="1914">
        <f t="shared" si="3"/>
        <v>0</v>
      </c>
      <c r="AZ46" s="1915"/>
      <c r="BA46" s="1915"/>
      <c r="BB46" s="1915"/>
      <c r="BC46" s="1915"/>
      <c r="BD46" s="1916"/>
      <c r="BE46" s="974"/>
    </row>
    <row r="47" spans="1:58" ht="15.75" customHeight="1" thickBot="1">
      <c r="A47" s="971"/>
      <c r="B47" s="1923" t="s">
        <v>1055</v>
      </c>
      <c r="C47" s="1924"/>
      <c r="D47" s="1924"/>
      <c r="E47" s="1924"/>
      <c r="F47" s="1924"/>
      <c r="G47" s="1924"/>
      <c r="H47" s="1924"/>
      <c r="I47" s="1924"/>
      <c r="J47" s="1925"/>
      <c r="K47" s="1925"/>
      <c r="L47" s="1925"/>
      <c r="M47" s="1925"/>
      <c r="N47" s="1925"/>
      <c r="O47" s="1925"/>
      <c r="P47" s="1925"/>
      <c r="Q47" s="1925"/>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30"/>
      <c r="AM47" s="1931"/>
      <c r="AN47" s="1931"/>
      <c r="AO47" s="1932"/>
      <c r="AP47" s="1930"/>
      <c r="AQ47" s="1931"/>
      <c r="AR47" s="1932"/>
      <c r="AS47" s="1911">
        <f t="shared" si="2"/>
        <v>0</v>
      </c>
      <c r="AT47" s="1912"/>
      <c r="AU47" s="1912"/>
      <c r="AV47" s="1912"/>
      <c r="AW47" s="1912"/>
      <c r="AX47" s="1913"/>
      <c r="AY47" s="1927">
        <f t="shared" si="3"/>
        <v>0</v>
      </c>
      <c r="AZ47" s="1928"/>
      <c r="BA47" s="1928"/>
      <c r="BB47" s="1928"/>
      <c r="BC47" s="1928"/>
      <c r="BD47" s="1929"/>
      <c r="BE47" s="974"/>
    </row>
    <row r="48" spans="1:58" ht="15.75" customHeight="1">
      <c r="A48" s="971"/>
      <c r="B48" s="976" t="s">
        <v>1936</v>
      </c>
      <c r="C48" s="971"/>
      <c r="D48" s="971"/>
      <c r="E48" s="971"/>
      <c r="F48" s="971"/>
      <c r="G48" s="971"/>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c r="AR48" s="971"/>
      <c r="AS48" s="971"/>
      <c r="AT48" s="971"/>
      <c r="AU48" s="971"/>
      <c r="AV48" s="971"/>
      <c r="AW48" s="971"/>
      <c r="AX48" s="971"/>
      <c r="AY48" s="971"/>
      <c r="AZ48" s="971"/>
      <c r="BA48" s="971"/>
      <c r="BB48" s="971"/>
      <c r="BC48" s="971"/>
      <c r="BD48" s="971"/>
      <c r="BE48" s="974"/>
      <c r="BF48" s="969"/>
    </row>
    <row r="49" spans="1:58" ht="15.75" customHeight="1" thickBot="1">
      <c r="A49" s="971"/>
      <c r="B49" s="976" t="s">
        <v>1937</v>
      </c>
      <c r="C49" s="971"/>
      <c r="D49" s="971"/>
      <c r="E49" s="971"/>
      <c r="F49" s="971"/>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c r="AL49" s="971"/>
      <c r="AM49" s="971"/>
      <c r="AN49" s="971"/>
      <c r="AO49" s="971"/>
      <c r="AP49" s="972"/>
      <c r="AQ49" s="972"/>
      <c r="AR49" s="972"/>
      <c r="AS49" s="972"/>
      <c r="AT49" s="972"/>
      <c r="AU49" s="972"/>
      <c r="AV49" s="972"/>
      <c r="AW49" s="972"/>
      <c r="AX49" s="971"/>
      <c r="AY49" s="971"/>
      <c r="AZ49" s="971"/>
      <c r="BA49" s="971"/>
      <c r="BB49" s="971"/>
      <c r="BC49" s="971"/>
      <c r="BD49" s="971"/>
      <c r="BE49" s="974"/>
      <c r="BF49" s="969"/>
    </row>
    <row r="50" spans="1:58" ht="15.75" customHeight="1">
      <c r="A50" s="971"/>
      <c r="B50" s="1933" t="s">
        <v>1938</v>
      </c>
      <c r="C50" s="1934"/>
      <c r="D50" s="1934"/>
      <c r="E50" s="1934"/>
      <c r="F50" s="1934"/>
      <c r="G50" s="1934"/>
      <c r="H50" s="1934"/>
      <c r="I50" s="1934"/>
      <c r="J50" s="1934"/>
      <c r="K50" s="1934"/>
      <c r="L50" s="1934"/>
      <c r="M50" s="1934"/>
      <c r="N50" s="1934"/>
      <c r="O50" s="1934"/>
      <c r="P50" s="1934"/>
      <c r="Q50" s="1934"/>
      <c r="R50" s="1934"/>
      <c r="S50" s="1934"/>
      <c r="T50" s="1934"/>
      <c r="U50" s="1934"/>
      <c r="V50" s="1934"/>
      <c r="W50" s="1934"/>
      <c r="X50" s="1934"/>
      <c r="Y50" s="1934"/>
      <c r="Z50" s="1934"/>
      <c r="AA50" s="1934"/>
      <c r="AB50" s="1934"/>
      <c r="AC50" s="1934"/>
      <c r="AD50" s="1934"/>
      <c r="AE50" s="1934"/>
      <c r="AF50" s="1934"/>
      <c r="AG50" s="1934"/>
      <c r="AH50" s="1934"/>
      <c r="AI50" s="1934"/>
      <c r="AJ50" s="1934"/>
      <c r="AK50" s="1934"/>
      <c r="AL50" s="1934"/>
      <c r="AM50" s="1934"/>
      <c r="AN50" s="1934"/>
      <c r="AO50" s="1935"/>
      <c r="AP50" s="972"/>
      <c r="AQ50" s="972"/>
      <c r="AR50" s="972"/>
      <c r="AS50" s="972"/>
      <c r="AT50" s="972"/>
      <c r="AU50" s="972"/>
      <c r="AV50" s="972"/>
      <c r="AW50" s="972"/>
      <c r="AX50" s="971"/>
      <c r="AY50" s="971"/>
      <c r="AZ50" s="971"/>
      <c r="BA50" s="971"/>
      <c r="BB50" s="971"/>
      <c r="BC50" s="971"/>
      <c r="BD50" s="971"/>
      <c r="BE50" s="974"/>
    </row>
    <row r="51" spans="1:58" ht="33.75" customHeight="1">
      <c r="A51" s="971"/>
      <c r="B51" s="1936" t="s">
        <v>1939</v>
      </c>
      <c r="C51" s="1937"/>
      <c r="D51" s="1937"/>
      <c r="E51" s="1937"/>
      <c r="F51" s="1937"/>
      <c r="G51" s="1937"/>
      <c r="H51" s="1937"/>
      <c r="I51" s="1937"/>
      <c r="J51" s="1937" t="s">
        <v>1940</v>
      </c>
      <c r="K51" s="1937"/>
      <c r="L51" s="1937"/>
      <c r="M51" s="1937"/>
      <c r="N51" s="1937"/>
      <c r="O51" s="1937"/>
      <c r="P51" s="1937"/>
      <c r="Q51" s="1937"/>
      <c r="R51" s="1938" t="s">
        <v>1941</v>
      </c>
      <c r="S51" s="1938"/>
      <c r="T51" s="1938"/>
      <c r="U51" s="1938"/>
      <c r="V51" s="1938"/>
      <c r="W51" s="1938"/>
      <c r="X51" s="1938"/>
      <c r="Y51" s="1938"/>
      <c r="Z51" s="1938" t="s">
        <v>1942</v>
      </c>
      <c r="AA51" s="1938"/>
      <c r="AB51" s="1938"/>
      <c r="AC51" s="1938"/>
      <c r="AD51" s="1938"/>
      <c r="AE51" s="1938"/>
      <c r="AF51" s="1938"/>
      <c r="AG51" s="1938"/>
      <c r="AH51" s="1938" t="s">
        <v>1943</v>
      </c>
      <c r="AI51" s="1938"/>
      <c r="AJ51" s="1938"/>
      <c r="AK51" s="1938"/>
      <c r="AL51" s="1938"/>
      <c r="AM51" s="1938"/>
      <c r="AN51" s="1938"/>
      <c r="AO51" s="1939"/>
      <c r="AP51" s="972"/>
      <c r="AQ51" s="972"/>
      <c r="AR51" s="972"/>
      <c r="AS51" s="972"/>
      <c r="AT51" s="972"/>
      <c r="AU51" s="972"/>
      <c r="AV51" s="972"/>
      <c r="AW51" s="972"/>
      <c r="AX51" s="975"/>
      <c r="AY51" s="971"/>
      <c r="AZ51" s="971"/>
      <c r="BA51" s="971"/>
      <c r="BB51" s="971"/>
      <c r="BC51" s="971"/>
      <c r="BD51" s="971"/>
      <c r="BE51" s="974"/>
    </row>
    <row r="52" spans="1:58" ht="15.75" customHeight="1">
      <c r="A52" s="971"/>
      <c r="B52" s="1921" t="s">
        <v>1944</v>
      </c>
      <c r="C52" s="1922"/>
      <c r="D52" s="1922"/>
      <c r="E52" s="1922"/>
      <c r="F52" s="1922"/>
      <c r="G52" s="1922"/>
      <c r="H52" s="1922"/>
      <c r="I52" s="1922"/>
      <c r="J52" s="1940">
        <v>0</v>
      </c>
      <c r="K52" s="1940"/>
      <c r="L52" s="1940"/>
      <c r="M52" s="1940"/>
      <c r="N52" s="1940"/>
      <c r="O52" s="1940"/>
      <c r="P52" s="1940"/>
      <c r="Q52" s="1940"/>
      <c r="R52" s="1941">
        <v>0</v>
      </c>
      <c r="S52" s="1941"/>
      <c r="T52" s="1941"/>
      <c r="U52" s="1941"/>
      <c r="V52" s="1941"/>
      <c r="W52" s="1941"/>
      <c r="X52" s="1941"/>
      <c r="Y52" s="1941"/>
      <c r="Z52" s="1942">
        <v>0</v>
      </c>
      <c r="AA52" s="1942"/>
      <c r="AB52" s="1942"/>
      <c r="AC52" s="1942"/>
      <c r="AD52" s="1942"/>
      <c r="AE52" s="1942"/>
      <c r="AF52" s="1942"/>
      <c r="AG52" s="1942"/>
      <c r="AH52" s="1943"/>
      <c r="AI52" s="1943"/>
      <c r="AJ52" s="1943"/>
      <c r="AK52" s="1943"/>
      <c r="AL52" s="1943"/>
      <c r="AM52" s="1943"/>
      <c r="AN52" s="1943"/>
      <c r="AO52" s="1944"/>
      <c r="AP52" s="972"/>
      <c r="AQ52" s="972"/>
      <c r="AR52" s="972"/>
      <c r="AS52" s="972"/>
      <c r="AT52" s="972"/>
      <c r="AU52" s="972"/>
      <c r="AV52" s="972"/>
      <c r="AW52" s="972"/>
      <c r="AX52" s="975"/>
      <c r="AY52" s="971"/>
      <c r="AZ52" s="971"/>
      <c r="BA52" s="971"/>
      <c r="BB52" s="971"/>
      <c r="BC52" s="971"/>
      <c r="BD52" s="971"/>
      <c r="BE52" s="974"/>
    </row>
    <row r="53" spans="1:58" ht="15.75" customHeight="1">
      <c r="A53" s="971"/>
      <c r="B53" s="1921" t="s">
        <v>1945</v>
      </c>
      <c r="C53" s="1922"/>
      <c r="D53" s="1922"/>
      <c r="E53" s="1922"/>
      <c r="F53" s="1922"/>
      <c r="G53" s="1922"/>
      <c r="H53" s="1922"/>
      <c r="I53" s="1922"/>
      <c r="J53" s="1940">
        <v>0</v>
      </c>
      <c r="K53" s="1940"/>
      <c r="L53" s="1940"/>
      <c r="M53" s="1940"/>
      <c r="N53" s="1940"/>
      <c r="O53" s="1940"/>
      <c r="P53" s="1940"/>
      <c r="Q53" s="1940"/>
      <c r="R53" s="1941">
        <v>0</v>
      </c>
      <c r="S53" s="1941"/>
      <c r="T53" s="1941"/>
      <c r="U53" s="1941"/>
      <c r="V53" s="1941"/>
      <c r="W53" s="1941"/>
      <c r="X53" s="1941"/>
      <c r="Y53" s="1941"/>
      <c r="Z53" s="1942">
        <v>0</v>
      </c>
      <c r="AA53" s="1942"/>
      <c r="AB53" s="1942"/>
      <c r="AC53" s="1942"/>
      <c r="AD53" s="1942"/>
      <c r="AE53" s="1942"/>
      <c r="AF53" s="1942"/>
      <c r="AG53" s="1942"/>
      <c r="AH53" s="1943"/>
      <c r="AI53" s="1943"/>
      <c r="AJ53" s="1943"/>
      <c r="AK53" s="1943"/>
      <c r="AL53" s="1943"/>
      <c r="AM53" s="1943"/>
      <c r="AN53" s="1943"/>
      <c r="AO53" s="1944"/>
      <c r="AP53" s="972"/>
      <c r="AQ53" s="972"/>
      <c r="AR53" s="972"/>
      <c r="AS53" s="972"/>
      <c r="AT53" s="972"/>
      <c r="AU53" s="972"/>
      <c r="AV53" s="972"/>
      <c r="AW53" s="972"/>
      <c r="AX53" s="971"/>
      <c r="AY53" s="971"/>
      <c r="AZ53" s="971"/>
      <c r="BA53" s="971"/>
      <c r="BB53" s="971"/>
      <c r="BC53" s="971"/>
      <c r="BD53" s="971"/>
      <c r="BE53" s="974"/>
    </row>
    <row r="54" spans="1:58" ht="15.75" customHeight="1">
      <c r="A54" s="971"/>
      <c r="B54" s="1921"/>
      <c r="C54" s="1922"/>
      <c r="D54" s="1922"/>
      <c r="E54" s="1922"/>
      <c r="F54" s="1922"/>
      <c r="G54" s="1922"/>
      <c r="H54" s="1922"/>
      <c r="I54" s="1922"/>
      <c r="J54" s="1940"/>
      <c r="K54" s="1940"/>
      <c r="L54" s="1940"/>
      <c r="M54" s="1940"/>
      <c r="N54" s="1940"/>
      <c r="O54" s="1940"/>
      <c r="P54" s="1940"/>
      <c r="Q54" s="1940"/>
      <c r="R54" s="1941"/>
      <c r="S54" s="1941"/>
      <c r="T54" s="1941"/>
      <c r="U54" s="1941"/>
      <c r="V54" s="1941"/>
      <c r="W54" s="1941"/>
      <c r="X54" s="1941"/>
      <c r="Y54" s="1941"/>
      <c r="Z54" s="1942"/>
      <c r="AA54" s="1942"/>
      <c r="AB54" s="1942"/>
      <c r="AC54" s="1942"/>
      <c r="AD54" s="1942"/>
      <c r="AE54" s="1942"/>
      <c r="AF54" s="1942"/>
      <c r="AG54" s="1942"/>
      <c r="AH54" s="1943"/>
      <c r="AI54" s="1943"/>
      <c r="AJ54" s="1943"/>
      <c r="AK54" s="1943"/>
      <c r="AL54" s="1943"/>
      <c r="AM54" s="1943"/>
      <c r="AN54" s="1943"/>
      <c r="AO54" s="1944"/>
      <c r="AP54" s="972"/>
      <c r="AQ54" s="972"/>
      <c r="AR54" s="972"/>
      <c r="AS54" s="972"/>
      <c r="AT54" s="972"/>
      <c r="AU54" s="972"/>
      <c r="AV54" s="972"/>
      <c r="AW54" s="972"/>
      <c r="AX54" s="971"/>
      <c r="AY54" s="971"/>
      <c r="AZ54" s="971"/>
      <c r="BA54" s="971"/>
      <c r="BB54" s="971"/>
      <c r="BC54" s="971"/>
      <c r="BD54" s="971"/>
      <c r="BE54" s="974"/>
    </row>
    <row r="55" spans="1:58" ht="15.75" customHeight="1">
      <c r="A55" s="971"/>
      <c r="B55" s="1921"/>
      <c r="C55" s="1922"/>
      <c r="D55" s="1922"/>
      <c r="E55" s="1922"/>
      <c r="F55" s="1922"/>
      <c r="G55" s="1922"/>
      <c r="H55" s="1922"/>
      <c r="I55" s="1922"/>
      <c r="J55" s="1940"/>
      <c r="K55" s="1940"/>
      <c r="L55" s="1940"/>
      <c r="M55" s="1940"/>
      <c r="N55" s="1940"/>
      <c r="O55" s="1940"/>
      <c r="P55" s="1940"/>
      <c r="Q55" s="1940"/>
      <c r="R55" s="1941"/>
      <c r="S55" s="1941"/>
      <c r="T55" s="1941"/>
      <c r="U55" s="1941"/>
      <c r="V55" s="1941"/>
      <c r="W55" s="1941"/>
      <c r="X55" s="1941"/>
      <c r="Y55" s="1941"/>
      <c r="Z55" s="1942"/>
      <c r="AA55" s="1942"/>
      <c r="AB55" s="1942"/>
      <c r="AC55" s="1942"/>
      <c r="AD55" s="1942"/>
      <c r="AE55" s="1942"/>
      <c r="AF55" s="1942"/>
      <c r="AG55" s="1942"/>
      <c r="AH55" s="1943"/>
      <c r="AI55" s="1943"/>
      <c r="AJ55" s="1943"/>
      <c r="AK55" s="1943"/>
      <c r="AL55" s="1943"/>
      <c r="AM55" s="1943"/>
      <c r="AN55" s="1943"/>
      <c r="AO55" s="1944"/>
      <c r="AP55" s="972"/>
      <c r="AQ55" s="972"/>
      <c r="AR55" s="972"/>
      <c r="AS55" s="972"/>
      <c r="AT55" s="972" t="s">
        <v>254</v>
      </c>
      <c r="AU55" s="972"/>
      <c r="AV55" s="972"/>
      <c r="AW55" s="972"/>
      <c r="AX55" s="971"/>
      <c r="AY55" s="971"/>
      <c r="AZ55" s="971"/>
      <c r="BA55" s="971"/>
      <c r="BB55" s="971"/>
      <c r="BC55" s="971"/>
      <c r="BD55" s="971"/>
      <c r="BE55" s="974"/>
    </row>
    <row r="56" spans="1:58" ht="15.75" customHeight="1">
      <c r="A56" s="971"/>
      <c r="B56" s="1921"/>
      <c r="C56" s="1922"/>
      <c r="D56" s="1922"/>
      <c r="E56" s="1922"/>
      <c r="F56" s="1922"/>
      <c r="G56" s="1922"/>
      <c r="H56" s="1922"/>
      <c r="I56" s="1922"/>
      <c r="J56" s="1940"/>
      <c r="K56" s="1940"/>
      <c r="L56" s="1940"/>
      <c r="M56" s="1940"/>
      <c r="N56" s="1940"/>
      <c r="O56" s="1940"/>
      <c r="P56" s="1940"/>
      <c r="Q56" s="1940"/>
      <c r="R56" s="1941"/>
      <c r="S56" s="1941"/>
      <c r="T56" s="1941"/>
      <c r="U56" s="1941"/>
      <c r="V56" s="1941"/>
      <c r="W56" s="1941"/>
      <c r="X56" s="1941"/>
      <c r="Y56" s="1941"/>
      <c r="Z56" s="1942"/>
      <c r="AA56" s="1942"/>
      <c r="AB56" s="1942"/>
      <c r="AC56" s="1942"/>
      <c r="AD56" s="1942"/>
      <c r="AE56" s="1942"/>
      <c r="AF56" s="1942"/>
      <c r="AG56" s="1942"/>
      <c r="AH56" s="1943"/>
      <c r="AI56" s="1943"/>
      <c r="AJ56" s="1943"/>
      <c r="AK56" s="1943"/>
      <c r="AL56" s="1943"/>
      <c r="AM56" s="1943"/>
      <c r="AN56" s="1943"/>
      <c r="AO56" s="1944"/>
      <c r="AP56" s="972"/>
      <c r="AQ56" s="972"/>
      <c r="AR56" s="972"/>
      <c r="AS56" s="972"/>
      <c r="AT56" s="972"/>
      <c r="AU56" s="972"/>
      <c r="AV56" s="972"/>
      <c r="AW56" s="972"/>
      <c r="AX56" s="971"/>
      <c r="AY56" s="971"/>
      <c r="AZ56" s="971"/>
      <c r="BA56" s="971"/>
      <c r="BB56" s="971"/>
      <c r="BC56" s="971"/>
      <c r="BD56" s="971"/>
      <c r="BE56" s="974"/>
    </row>
    <row r="57" spans="1:58" s="978" customFormat="1" ht="15.75" customHeight="1" thickBot="1">
      <c r="A57" s="972"/>
      <c r="B57" s="1954" t="s">
        <v>1913</v>
      </c>
      <c r="C57" s="1955"/>
      <c r="D57" s="1955"/>
      <c r="E57" s="1955"/>
      <c r="F57" s="1955"/>
      <c r="G57" s="1955"/>
      <c r="H57" s="1955"/>
      <c r="I57" s="1955"/>
      <c r="J57" s="1955"/>
      <c r="K57" s="1955"/>
      <c r="L57" s="1955"/>
      <c r="M57" s="1955"/>
      <c r="N57" s="1955"/>
      <c r="O57" s="1955"/>
      <c r="P57" s="1955"/>
      <c r="Q57" s="1955"/>
      <c r="R57" s="1956">
        <f>SUM(R52:Y56)</f>
        <v>0</v>
      </c>
      <c r="S57" s="1956"/>
      <c r="T57" s="1956"/>
      <c r="U57" s="1956"/>
      <c r="V57" s="1956"/>
      <c r="W57" s="1956"/>
      <c r="X57" s="1956"/>
      <c r="Y57" s="1956"/>
      <c r="Z57" s="1957">
        <f>SUM(Z52:AG56)</f>
        <v>0</v>
      </c>
      <c r="AA57" s="1957"/>
      <c r="AB57" s="1957"/>
      <c r="AC57" s="1957"/>
      <c r="AD57" s="1957"/>
      <c r="AE57" s="1957"/>
      <c r="AF57" s="1957"/>
      <c r="AG57" s="1957"/>
      <c r="AH57" s="1958"/>
      <c r="AI57" s="1958"/>
      <c r="AJ57" s="1958"/>
      <c r="AK57" s="1958"/>
      <c r="AL57" s="1958"/>
      <c r="AM57" s="1958"/>
      <c r="AN57" s="1958"/>
      <c r="AO57" s="1959"/>
      <c r="AP57" s="972"/>
      <c r="AQ57" s="972"/>
      <c r="AR57" s="972"/>
      <c r="AS57" s="972"/>
      <c r="AT57" s="972"/>
      <c r="AU57" s="972"/>
      <c r="AV57" s="972"/>
      <c r="AW57" s="972"/>
      <c r="AX57" s="972"/>
      <c r="AY57" s="972"/>
      <c r="AZ57" s="972"/>
      <c r="BA57" s="972"/>
      <c r="BB57" s="972"/>
      <c r="BC57" s="972"/>
      <c r="BD57" s="972"/>
      <c r="BE57" s="977"/>
    </row>
    <row r="58" spans="1:58" ht="15.75" customHeight="1" thickBot="1">
      <c r="A58" s="971"/>
      <c r="B58" s="971"/>
      <c r="C58" s="971"/>
      <c r="D58" s="971"/>
      <c r="E58" s="971"/>
      <c r="F58" s="97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c r="AM58" s="971"/>
      <c r="AN58" s="971"/>
      <c r="AO58" s="971"/>
      <c r="AP58" s="971"/>
      <c r="AQ58" s="971"/>
      <c r="AR58" s="971"/>
      <c r="AS58" s="971"/>
      <c r="AT58" s="971"/>
      <c r="AU58" s="971"/>
      <c r="AV58" s="971"/>
      <c r="AW58" s="971"/>
      <c r="AX58" s="971"/>
      <c r="AY58" s="971"/>
      <c r="AZ58" s="971"/>
      <c r="BA58" s="971"/>
      <c r="BB58" s="971"/>
      <c r="BC58" s="971"/>
      <c r="BD58" s="971"/>
      <c r="BE58" s="974"/>
    </row>
    <row r="59" spans="1:58" ht="15.75" customHeight="1">
      <c r="A59" s="971"/>
      <c r="B59" s="1945" t="s">
        <v>1939</v>
      </c>
      <c r="C59" s="1946"/>
      <c r="D59" s="1946"/>
      <c r="E59" s="1946"/>
      <c r="F59" s="1946"/>
      <c r="G59" s="1946"/>
      <c r="H59" s="1946"/>
      <c r="I59" s="1947"/>
      <c r="J59" s="1839" t="s">
        <v>1946</v>
      </c>
      <c r="K59" s="1839"/>
      <c r="L59" s="1839"/>
      <c r="M59" s="1839"/>
      <c r="N59" s="1839"/>
      <c r="O59" s="1839"/>
      <c r="P59" s="1839"/>
      <c r="Q59" s="1839"/>
      <c r="R59" s="1839"/>
      <c r="S59" s="1839"/>
      <c r="T59" s="1839"/>
      <c r="U59" s="1839"/>
      <c r="V59" s="1839"/>
      <c r="W59" s="1839"/>
      <c r="X59" s="1839"/>
      <c r="Y59" s="1839"/>
      <c r="Z59" s="1839"/>
      <c r="AA59" s="1839"/>
      <c r="AB59" s="1839"/>
      <c r="AC59" s="1839"/>
      <c r="AD59" s="1839"/>
      <c r="AE59" s="1839"/>
      <c r="AF59" s="1839"/>
      <c r="AG59" s="1839"/>
      <c r="AH59" s="1839"/>
      <c r="AI59" s="1839"/>
      <c r="AJ59" s="1839"/>
      <c r="AK59" s="1839"/>
      <c r="AL59" s="1839"/>
      <c r="AM59" s="1839"/>
      <c r="AN59" s="1839"/>
      <c r="AO59" s="1839"/>
      <c r="AP59" s="1839"/>
      <c r="AQ59" s="1839"/>
      <c r="AR59" s="1839"/>
      <c r="AS59" s="1839"/>
      <c r="AT59" s="1839"/>
      <c r="AU59" s="1839"/>
      <c r="AV59" s="1839"/>
      <c r="AW59" s="1840"/>
      <c r="AX59" s="971"/>
      <c r="AY59" s="971"/>
      <c r="AZ59" s="971"/>
      <c r="BA59" s="971"/>
      <c r="BB59" s="971"/>
      <c r="BC59" s="971"/>
      <c r="BD59" s="971"/>
      <c r="BE59" s="974"/>
    </row>
    <row r="60" spans="1:58" ht="15.75" customHeight="1">
      <c r="A60" s="971"/>
      <c r="B60" s="1948" t="str">
        <f>IF(B52="", "", B52)</f>
        <v>Services Company 1</v>
      </c>
      <c r="C60" s="1949"/>
      <c r="D60" s="1949"/>
      <c r="E60" s="1949"/>
      <c r="F60" s="1949"/>
      <c r="G60" s="1949"/>
      <c r="H60" s="1949"/>
      <c r="I60" s="1950"/>
      <c r="J60" s="1951"/>
      <c r="K60" s="1952"/>
      <c r="L60" s="1952"/>
      <c r="M60" s="1952"/>
      <c r="N60" s="1952"/>
      <c r="O60" s="1952"/>
      <c r="P60" s="1952"/>
      <c r="Q60" s="1952"/>
      <c r="R60" s="1952"/>
      <c r="S60" s="1952"/>
      <c r="T60" s="1952"/>
      <c r="U60" s="1952"/>
      <c r="V60" s="1952"/>
      <c r="W60" s="1952"/>
      <c r="X60" s="1952"/>
      <c r="Y60" s="1952"/>
      <c r="Z60" s="1952"/>
      <c r="AA60" s="1952"/>
      <c r="AB60" s="1952"/>
      <c r="AC60" s="1952"/>
      <c r="AD60" s="1952"/>
      <c r="AE60" s="1952"/>
      <c r="AF60" s="1952"/>
      <c r="AG60" s="1952"/>
      <c r="AH60" s="1952"/>
      <c r="AI60" s="1952"/>
      <c r="AJ60" s="1952"/>
      <c r="AK60" s="1952"/>
      <c r="AL60" s="1952"/>
      <c r="AM60" s="1952"/>
      <c r="AN60" s="1952"/>
      <c r="AO60" s="1952"/>
      <c r="AP60" s="1952"/>
      <c r="AQ60" s="1952"/>
      <c r="AR60" s="1952"/>
      <c r="AS60" s="1952"/>
      <c r="AT60" s="1952"/>
      <c r="AU60" s="1952"/>
      <c r="AV60" s="1952"/>
      <c r="AW60" s="1953"/>
      <c r="AX60" s="971"/>
      <c r="AY60" s="971"/>
      <c r="AZ60" s="971"/>
      <c r="BA60" s="971"/>
      <c r="BB60" s="971"/>
      <c r="BC60" s="971"/>
      <c r="BD60" s="971"/>
      <c r="BE60" s="974"/>
    </row>
    <row r="61" spans="1:58" ht="15.75" customHeight="1">
      <c r="A61" s="971"/>
      <c r="B61" s="1948" t="str">
        <f>IF(B53="", "", B53)</f>
        <v>Services Company 2</v>
      </c>
      <c r="C61" s="1949"/>
      <c r="D61" s="1949"/>
      <c r="E61" s="1949"/>
      <c r="F61" s="1949"/>
      <c r="G61" s="1949"/>
      <c r="H61" s="1949"/>
      <c r="I61" s="1950"/>
      <c r="J61" s="1951"/>
      <c r="K61" s="1952"/>
      <c r="L61" s="1952"/>
      <c r="M61" s="1952"/>
      <c r="N61" s="1952"/>
      <c r="O61" s="1952"/>
      <c r="P61" s="1952"/>
      <c r="Q61" s="1952"/>
      <c r="R61" s="1952"/>
      <c r="S61" s="1952"/>
      <c r="T61" s="1952"/>
      <c r="U61" s="1952"/>
      <c r="V61" s="1952"/>
      <c r="W61" s="1952"/>
      <c r="X61" s="1952"/>
      <c r="Y61" s="1952"/>
      <c r="Z61" s="1952"/>
      <c r="AA61" s="1952"/>
      <c r="AB61" s="1952"/>
      <c r="AC61" s="1952"/>
      <c r="AD61" s="1952"/>
      <c r="AE61" s="1952"/>
      <c r="AF61" s="1952"/>
      <c r="AG61" s="1952"/>
      <c r="AH61" s="1952"/>
      <c r="AI61" s="1952"/>
      <c r="AJ61" s="1952"/>
      <c r="AK61" s="1952"/>
      <c r="AL61" s="1952"/>
      <c r="AM61" s="1952"/>
      <c r="AN61" s="1952"/>
      <c r="AO61" s="1952"/>
      <c r="AP61" s="1952"/>
      <c r="AQ61" s="1952"/>
      <c r="AR61" s="1952"/>
      <c r="AS61" s="1952"/>
      <c r="AT61" s="1952"/>
      <c r="AU61" s="1952"/>
      <c r="AV61" s="1952"/>
      <c r="AW61" s="1953"/>
      <c r="AX61" s="971"/>
      <c r="AY61" s="971"/>
      <c r="AZ61" s="971"/>
      <c r="BA61" s="971"/>
      <c r="BB61" s="971"/>
      <c r="BC61" s="971"/>
      <c r="BD61" s="971"/>
      <c r="BE61" s="974"/>
    </row>
    <row r="62" spans="1:58" ht="15.75" customHeight="1">
      <c r="A62" s="971"/>
      <c r="B62" s="1948" t="str">
        <f>IF(B54="", "", B54)</f>
        <v/>
      </c>
      <c r="C62" s="1949"/>
      <c r="D62" s="1949"/>
      <c r="E62" s="1949"/>
      <c r="F62" s="1949"/>
      <c r="G62" s="1949"/>
      <c r="H62" s="1949"/>
      <c r="I62" s="1950"/>
      <c r="J62" s="1951"/>
      <c r="K62" s="1952"/>
      <c r="L62" s="1952"/>
      <c r="M62" s="1952"/>
      <c r="N62" s="1952"/>
      <c r="O62" s="1952"/>
      <c r="P62" s="1952"/>
      <c r="Q62" s="1952"/>
      <c r="R62" s="1952"/>
      <c r="S62" s="1952"/>
      <c r="T62" s="1952"/>
      <c r="U62" s="1952"/>
      <c r="V62" s="1952"/>
      <c r="W62" s="1952"/>
      <c r="X62" s="1952"/>
      <c r="Y62" s="1952"/>
      <c r="Z62" s="1952"/>
      <c r="AA62" s="1952"/>
      <c r="AB62" s="1952"/>
      <c r="AC62" s="1952"/>
      <c r="AD62" s="1952"/>
      <c r="AE62" s="1952"/>
      <c r="AF62" s="1952"/>
      <c r="AG62" s="1952"/>
      <c r="AH62" s="1952"/>
      <c r="AI62" s="1952"/>
      <c r="AJ62" s="1952"/>
      <c r="AK62" s="1952"/>
      <c r="AL62" s="1952"/>
      <c r="AM62" s="1952"/>
      <c r="AN62" s="1952"/>
      <c r="AO62" s="1952"/>
      <c r="AP62" s="1952"/>
      <c r="AQ62" s="1952"/>
      <c r="AR62" s="1952"/>
      <c r="AS62" s="1952"/>
      <c r="AT62" s="1952"/>
      <c r="AU62" s="1952"/>
      <c r="AV62" s="1952"/>
      <c r="AW62" s="1953"/>
      <c r="AX62" s="971"/>
      <c r="AY62" s="971"/>
      <c r="AZ62" s="971"/>
      <c r="BA62" s="971"/>
      <c r="BB62" s="971"/>
      <c r="BC62" s="971"/>
      <c r="BD62" s="971"/>
      <c r="BE62" s="974"/>
    </row>
    <row r="63" spans="1:58" ht="15.75" customHeight="1">
      <c r="A63" s="971"/>
      <c r="B63" s="1948" t="str">
        <f>IF(B55="", "", B55)</f>
        <v/>
      </c>
      <c r="C63" s="1949"/>
      <c r="D63" s="1949"/>
      <c r="E63" s="1949"/>
      <c r="F63" s="1949"/>
      <c r="G63" s="1949"/>
      <c r="H63" s="1949"/>
      <c r="I63" s="1950"/>
      <c r="J63" s="1951"/>
      <c r="K63" s="1952"/>
      <c r="L63" s="1952"/>
      <c r="M63" s="1952"/>
      <c r="N63" s="1952"/>
      <c r="O63" s="1952"/>
      <c r="P63" s="1952"/>
      <c r="Q63" s="1952"/>
      <c r="R63" s="1952"/>
      <c r="S63" s="1952"/>
      <c r="T63" s="1952"/>
      <c r="U63" s="1952"/>
      <c r="V63" s="1952"/>
      <c r="W63" s="1952"/>
      <c r="X63" s="1952"/>
      <c r="Y63" s="1952"/>
      <c r="Z63" s="1952"/>
      <c r="AA63" s="1952"/>
      <c r="AB63" s="1952"/>
      <c r="AC63" s="1952"/>
      <c r="AD63" s="1952"/>
      <c r="AE63" s="1952"/>
      <c r="AF63" s="1952"/>
      <c r="AG63" s="1952"/>
      <c r="AH63" s="1952"/>
      <c r="AI63" s="1952"/>
      <c r="AJ63" s="1952"/>
      <c r="AK63" s="1952"/>
      <c r="AL63" s="1952"/>
      <c r="AM63" s="1952"/>
      <c r="AN63" s="1952"/>
      <c r="AO63" s="1952"/>
      <c r="AP63" s="1952"/>
      <c r="AQ63" s="1952"/>
      <c r="AR63" s="1952"/>
      <c r="AS63" s="1952"/>
      <c r="AT63" s="1952"/>
      <c r="AU63" s="1952"/>
      <c r="AV63" s="1952"/>
      <c r="AW63" s="1953"/>
      <c r="AX63" s="971"/>
      <c r="AY63" s="971"/>
      <c r="AZ63" s="971"/>
      <c r="BA63" s="971"/>
      <c r="BB63" s="971"/>
      <c r="BC63" s="971"/>
      <c r="BD63" s="971"/>
      <c r="BE63" s="974"/>
    </row>
    <row r="64" spans="1:58" ht="15.75" customHeight="1" thickBot="1">
      <c r="A64" s="971"/>
      <c r="B64" s="1970" t="str">
        <f>IF(B56="", "", B56)</f>
        <v/>
      </c>
      <c r="C64" s="1971"/>
      <c r="D64" s="1971"/>
      <c r="E64" s="1971"/>
      <c r="F64" s="1971"/>
      <c r="G64" s="1971"/>
      <c r="H64" s="1971"/>
      <c r="I64" s="1972"/>
      <c r="J64" s="1973"/>
      <c r="K64" s="1974"/>
      <c r="L64" s="1974"/>
      <c r="M64" s="1974"/>
      <c r="N64" s="1974"/>
      <c r="O64" s="1974"/>
      <c r="P64" s="1974"/>
      <c r="Q64" s="1974"/>
      <c r="R64" s="1974"/>
      <c r="S64" s="1974"/>
      <c r="T64" s="1974"/>
      <c r="U64" s="1974"/>
      <c r="V64" s="1974"/>
      <c r="W64" s="1974"/>
      <c r="X64" s="1974"/>
      <c r="Y64" s="1974"/>
      <c r="Z64" s="1974"/>
      <c r="AA64" s="1974"/>
      <c r="AB64" s="1974"/>
      <c r="AC64" s="1974"/>
      <c r="AD64" s="1974"/>
      <c r="AE64" s="1974"/>
      <c r="AF64" s="1974"/>
      <c r="AG64" s="1974"/>
      <c r="AH64" s="1974"/>
      <c r="AI64" s="1974"/>
      <c r="AJ64" s="1974"/>
      <c r="AK64" s="1974"/>
      <c r="AL64" s="1974"/>
      <c r="AM64" s="1974"/>
      <c r="AN64" s="1974"/>
      <c r="AO64" s="1974"/>
      <c r="AP64" s="1974"/>
      <c r="AQ64" s="1974"/>
      <c r="AR64" s="1974"/>
      <c r="AS64" s="1974"/>
      <c r="AT64" s="1974"/>
      <c r="AU64" s="1974"/>
      <c r="AV64" s="1974"/>
      <c r="AW64" s="1975"/>
      <c r="AX64" s="971"/>
      <c r="AY64" s="971"/>
      <c r="AZ64" s="971"/>
      <c r="BA64" s="971"/>
      <c r="BB64" s="971"/>
      <c r="BC64" s="971"/>
      <c r="BD64" s="971"/>
      <c r="BE64" s="974"/>
    </row>
    <row r="65" spans="1:94" ht="15.75" customHeight="1">
      <c r="A65" s="971"/>
      <c r="B65" s="971"/>
      <c r="C65" s="971"/>
      <c r="D65" s="971"/>
      <c r="E65" s="971"/>
      <c r="F65" s="971"/>
      <c r="G65" s="971"/>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c r="AL65" s="971"/>
      <c r="AM65" s="971"/>
      <c r="AN65" s="971"/>
      <c r="AO65" s="971"/>
      <c r="AP65" s="971"/>
      <c r="AQ65" s="971"/>
      <c r="AR65" s="971"/>
      <c r="AS65" s="971"/>
      <c r="AT65" s="971"/>
      <c r="AU65" s="971"/>
      <c r="AV65" s="971"/>
      <c r="AW65" s="971"/>
      <c r="AX65" s="971"/>
      <c r="AY65" s="971"/>
      <c r="AZ65" s="971"/>
      <c r="BA65" s="971"/>
      <c r="BB65" s="971"/>
      <c r="BC65" s="971"/>
      <c r="BD65" s="971"/>
      <c r="BE65" s="974"/>
    </row>
    <row r="66" spans="1:94" ht="15.75" customHeight="1">
      <c r="A66" s="971"/>
      <c r="B66" s="978" t="s">
        <v>1947</v>
      </c>
      <c r="C66" s="978"/>
      <c r="D66" s="978"/>
      <c r="E66" s="978"/>
      <c r="F66" s="978"/>
      <c r="G66" s="978"/>
      <c r="H66" s="978"/>
      <c r="I66" s="978"/>
      <c r="J66" s="978"/>
      <c r="K66" s="978"/>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971"/>
      <c r="AZ66" s="971"/>
      <c r="BA66" s="971"/>
      <c r="BB66" s="971"/>
      <c r="BC66" s="971"/>
      <c r="BD66" s="971"/>
      <c r="BE66" s="974"/>
    </row>
    <row r="67" spans="1:94" ht="15.75" customHeight="1" thickBot="1">
      <c r="A67" s="971"/>
      <c r="B67" s="971"/>
      <c r="C67" s="971"/>
      <c r="D67" s="971"/>
      <c r="E67" s="971"/>
      <c r="F67" s="971"/>
      <c r="G67" s="971"/>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c r="AL67" s="971"/>
      <c r="AM67" s="971"/>
      <c r="AN67" s="971"/>
      <c r="AO67" s="971"/>
      <c r="AP67" s="971"/>
      <c r="AQ67" s="971"/>
      <c r="AR67" s="971"/>
      <c r="AS67" s="971"/>
      <c r="AT67" s="971"/>
      <c r="AU67" s="971"/>
      <c r="AV67" s="971"/>
      <c r="AW67" s="971"/>
      <c r="AX67" s="971"/>
      <c r="AY67" s="971"/>
      <c r="AZ67" s="971"/>
      <c r="BA67" s="971"/>
      <c r="BB67" s="971"/>
      <c r="BC67" s="971"/>
      <c r="BD67" s="971"/>
      <c r="BE67" s="974"/>
    </row>
    <row r="68" spans="1:94" ht="15.75" customHeight="1" thickBot="1">
      <c r="A68" s="971"/>
      <c r="B68" s="1838" t="s">
        <v>1948</v>
      </c>
      <c r="C68" s="1839"/>
      <c r="D68" s="1839"/>
      <c r="E68" s="1839"/>
      <c r="F68" s="1839"/>
      <c r="G68" s="1839"/>
      <c r="H68" s="1839"/>
      <c r="I68" s="1839"/>
      <c r="J68" s="1839"/>
      <c r="K68" s="1839"/>
      <c r="L68" s="1839"/>
      <c r="M68" s="1839"/>
      <c r="N68" s="1839"/>
      <c r="O68" s="1839"/>
      <c r="P68" s="1839"/>
      <c r="Q68" s="1839"/>
      <c r="R68" s="1839"/>
      <c r="S68" s="1839"/>
      <c r="T68" s="1839"/>
      <c r="U68" s="1839"/>
      <c r="V68" s="1839"/>
      <c r="W68" s="1839"/>
      <c r="X68" s="1839"/>
      <c r="Y68" s="1839"/>
      <c r="Z68" s="1839"/>
      <c r="AA68" s="1840"/>
      <c r="AB68" s="971"/>
      <c r="AC68" s="1982" t="s">
        <v>1949</v>
      </c>
      <c r="AD68" s="1983"/>
      <c r="AE68" s="1983"/>
      <c r="AF68" s="1983"/>
      <c r="AG68" s="1983"/>
      <c r="AH68" s="1983"/>
      <c r="AI68" s="1983"/>
      <c r="AJ68" s="1983"/>
      <c r="AK68" s="1983"/>
      <c r="AL68" s="1983"/>
      <c r="AM68" s="1983"/>
      <c r="AN68" s="1983"/>
      <c r="AO68" s="1983"/>
      <c r="AP68" s="1983"/>
      <c r="AQ68" s="1983"/>
      <c r="AR68" s="1983"/>
      <c r="AS68" s="1983"/>
      <c r="AT68" s="1983"/>
      <c r="AU68" s="1983"/>
      <c r="AV68" s="1960" t="s">
        <v>694</v>
      </c>
      <c r="AW68" s="1961"/>
      <c r="AX68" s="1961"/>
      <c r="AY68" s="1961"/>
      <c r="AZ68" s="1961"/>
      <c r="BA68" s="1961"/>
      <c r="BB68" s="1961"/>
      <c r="BC68" s="1962"/>
      <c r="BD68" s="971"/>
      <c r="BE68" s="974"/>
      <c r="BM68" s="979" t="s">
        <v>1950</v>
      </c>
    </row>
    <row r="69" spans="1:94" ht="15.75" customHeight="1" thickTop="1" thickBot="1">
      <c r="A69" s="971"/>
      <c r="B69" s="1963" t="s">
        <v>1951</v>
      </c>
      <c r="C69" s="1964"/>
      <c r="D69" s="1964"/>
      <c r="E69" s="1964"/>
      <c r="F69" s="1964"/>
      <c r="G69" s="1964"/>
      <c r="H69" s="1964"/>
      <c r="I69" s="1964"/>
      <c r="J69" s="1964"/>
      <c r="K69" s="1964"/>
      <c r="L69" s="1964"/>
      <c r="M69" s="1964"/>
      <c r="N69" s="1964"/>
      <c r="O69" s="1965" t="s">
        <v>1952</v>
      </c>
      <c r="P69" s="1966"/>
      <c r="Q69" s="1966"/>
      <c r="R69" s="1966"/>
      <c r="S69" s="1966"/>
      <c r="T69" s="1966"/>
      <c r="U69" s="1966"/>
      <c r="V69" s="1966"/>
      <c r="W69" s="1966"/>
      <c r="X69" s="1966"/>
      <c r="Y69" s="1966"/>
      <c r="Z69" s="1966"/>
      <c r="AA69" s="1967"/>
      <c r="AB69" s="971"/>
      <c r="AC69" s="1968" t="s">
        <v>1953</v>
      </c>
      <c r="AD69" s="1969"/>
      <c r="AE69" s="1969"/>
      <c r="AF69" s="1969"/>
      <c r="AG69" s="1969"/>
      <c r="AH69" s="1969"/>
      <c r="AI69" s="1969"/>
      <c r="AJ69" s="1969"/>
      <c r="AK69" s="1969"/>
      <c r="AL69" s="1969"/>
      <c r="AM69" s="1969"/>
      <c r="AN69" s="1969"/>
      <c r="AO69" s="1969"/>
      <c r="AP69" s="1969"/>
      <c r="AQ69" s="1969"/>
      <c r="AR69" s="1969"/>
      <c r="AS69" s="1969"/>
      <c r="AT69" s="1969"/>
      <c r="AU69" s="1969"/>
      <c r="AV69" s="1960" t="s">
        <v>694</v>
      </c>
      <c r="AW69" s="1961"/>
      <c r="AX69" s="1961"/>
      <c r="AY69" s="1961"/>
      <c r="AZ69" s="1961"/>
      <c r="BA69" s="1961"/>
      <c r="BB69" s="1961"/>
      <c r="BC69" s="1962"/>
      <c r="BD69" s="971"/>
      <c r="BE69" s="974"/>
      <c r="BM69" s="980" t="s">
        <v>847</v>
      </c>
    </row>
    <row r="70" spans="1:94" ht="15.75" customHeight="1">
      <c r="A70" s="971"/>
      <c r="B70" s="1917" t="s">
        <v>1954</v>
      </c>
      <c r="C70" s="1918"/>
      <c r="D70" s="1918"/>
      <c r="E70" s="1918"/>
      <c r="F70" s="1918"/>
      <c r="G70" s="1918"/>
      <c r="H70" s="1918"/>
      <c r="I70" s="1918"/>
      <c r="J70" s="1918"/>
      <c r="K70" s="1918"/>
      <c r="L70" s="1918"/>
      <c r="M70" s="1918"/>
      <c r="N70" s="1918"/>
      <c r="O70" s="1976">
        <v>0</v>
      </c>
      <c r="P70" s="1976"/>
      <c r="Q70" s="1976"/>
      <c r="R70" s="1976"/>
      <c r="S70" s="1976"/>
      <c r="T70" s="1976"/>
      <c r="U70" s="1976"/>
      <c r="V70" s="1976"/>
      <c r="W70" s="1976"/>
      <c r="X70" s="1976"/>
      <c r="Y70" s="1976"/>
      <c r="Z70" s="1976"/>
      <c r="AA70" s="1977"/>
      <c r="AB70" s="971"/>
      <c r="AC70" s="1933" t="s">
        <v>1955</v>
      </c>
      <c r="AD70" s="1934"/>
      <c r="AE70" s="1934"/>
      <c r="AF70" s="1978"/>
      <c r="AG70" s="1978"/>
      <c r="AH70" s="1978"/>
      <c r="AI70" s="1978"/>
      <c r="AJ70" s="1978"/>
      <c r="AK70" s="1978"/>
      <c r="AL70" s="1978"/>
      <c r="AM70" s="1978"/>
      <c r="AN70" s="1978"/>
      <c r="AO70" s="1978"/>
      <c r="AP70" s="1978"/>
      <c r="AQ70" s="1978"/>
      <c r="AR70" s="1978"/>
      <c r="AS70" s="1978"/>
      <c r="AT70" s="1978"/>
      <c r="AU70" s="1979"/>
      <c r="AV70" s="971"/>
      <c r="AW70" s="971"/>
      <c r="AX70" s="971"/>
      <c r="AY70" s="971"/>
      <c r="AZ70" s="971"/>
      <c r="BA70" s="971"/>
      <c r="BB70" s="971"/>
      <c r="BC70" s="971"/>
      <c r="BD70" s="971"/>
      <c r="BE70" s="974"/>
      <c r="BM70" s="981" t="s">
        <v>694</v>
      </c>
    </row>
    <row r="71" spans="1:94" ht="15.75" customHeight="1" thickBot="1">
      <c r="A71" s="971"/>
      <c r="B71" s="1917" t="s">
        <v>1956</v>
      </c>
      <c r="C71" s="1918"/>
      <c r="D71" s="1918"/>
      <c r="E71" s="1918"/>
      <c r="F71" s="1918"/>
      <c r="G71" s="1918"/>
      <c r="H71" s="1918"/>
      <c r="I71" s="1918"/>
      <c r="J71" s="1918"/>
      <c r="K71" s="1918"/>
      <c r="L71" s="1918"/>
      <c r="M71" s="1918"/>
      <c r="N71" s="1918"/>
      <c r="O71" s="1976">
        <v>0</v>
      </c>
      <c r="P71" s="1976"/>
      <c r="Q71" s="1976"/>
      <c r="R71" s="1976"/>
      <c r="S71" s="1976"/>
      <c r="T71" s="1976"/>
      <c r="U71" s="1976"/>
      <c r="V71" s="1976"/>
      <c r="W71" s="1976"/>
      <c r="X71" s="1976"/>
      <c r="Y71" s="1976"/>
      <c r="Z71" s="1976"/>
      <c r="AA71" s="1977"/>
      <c r="AB71" s="971"/>
      <c r="AC71" s="1980" t="s">
        <v>1957</v>
      </c>
      <c r="AD71" s="1981"/>
      <c r="AE71" s="1981"/>
      <c r="AF71" s="1974"/>
      <c r="AG71" s="1974"/>
      <c r="AH71" s="1974"/>
      <c r="AI71" s="1974"/>
      <c r="AJ71" s="1974"/>
      <c r="AK71" s="1974"/>
      <c r="AL71" s="1974"/>
      <c r="AM71" s="1974"/>
      <c r="AN71" s="1974"/>
      <c r="AO71" s="1974"/>
      <c r="AP71" s="1974"/>
      <c r="AQ71" s="1974"/>
      <c r="AR71" s="1974"/>
      <c r="AS71" s="1974"/>
      <c r="AT71" s="1974"/>
      <c r="AU71" s="1975"/>
      <c r="AV71" s="971"/>
      <c r="AW71" s="971"/>
      <c r="AX71" s="971"/>
      <c r="AY71" s="971"/>
      <c r="AZ71" s="971"/>
      <c r="BA71" s="971"/>
      <c r="BB71" s="971"/>
      <c r="BC71" s="971"/>
      <c r="BD71" s="971"/>
      <c r="BE71" s="974"/>
      <c r="BM71" s="968" t="s">
        <v>1958</v>
      </c>
    </row>
    <row r="72" spans="1:94" ht="15.75" customHeight="1">
      <c r="A72" s="971"/>
      <c r="B72" s="1917" t="s">
        <v>1959</v>
      </c>
      <c r="C72" s="1918"/>
      <c r="D72" s="1918"/>
      <c r="E72" s="1918"/>
      <c r="F72" s="1918"/>
      <c r="G72" s="1918"/>
      <c r="H72" s="1918"/>
      <c r="I72" s="1918"/>
      <c r="J72" s="1918"/>
      <c r="K72" s="1918"/>
      <c r="L72" s="1918"/>
      <c r="M72" s="1918"/>
      <c r="N72" s="1918"/>
      <c r="O72" s="1976">
        <v>0</v>
      </c>
      <c r="P72" s="1976"/>
      <c r="Q72" s="1976"/>
      <c r="R72" s="1976"/>
      <c r="S72" s="1976"/>
      <c r="T72" s="1976"/>
      <c r="U72" s="1976"/>
      <c r="V72" s="1976"/>
      <c r="W72" s="1976"/>
      <c r="X72" s="1976"/>
      <c r="Y72" s="1976"/>
      <c r="Z72" s="1976"/>
      <c r="AA72" s="1977"/>
      <c r="AB72" s="971"/>
      <c r="AC72" s="2000" t="s">
        <v>1960</v>
      </c>
      <c r="AD72" s="2001"/>
      <c r="AE72" s="2001"/>
      <c r="AF72" s="2001"/>
      <c r="AG72" s="2001"/>
      <c r="AH72" s="2001"/>
      <c r="AI72" s="2001"/>
      <c r="AJ72" s="2001"/>
      <c r="AK72" s="2001"/>
      <c r="AL72" s="2001"/>
      <c r="AM72" s="2001"/>
      <c r="AN72" s="2001"/>
      <c r="AO72" s="2001"/>
      <c r="AP72" s="2001"/>
      <c r="AQ72" s="2001"/>
      <c r="AR72" s="2001"/>
      <c r="AS72" s="2001"/>
      <c r="AT72" s="2001"/>
      <c r="AU72" s="2001"/>
      <c r="AV72" s="1934"/>
      <c r="AW72" s="1934"/>
      <c r="AX72" s="1934"/>
      <c r="AY72" s="1934"/>
      <c r="AZ72" s="1934"/>
      <c r="BA72" s="1934"/>
      <c r="BB72" s="1934"/>
      <c r="BC72" s="1935"/>
      <c r="BD72" s="971"/>
      <c r="BE72" s="974"/>
    </row>
    <row r="73" spans="1:94" ht="15.75" customHeight="1">
      <c r="A73" s="971"/>
      <c r="B73" s="1921" t="s">
        <v>1961</v>
      </c>
      <c r="C73" s="1922"/>
      <c r="D73" s="1922"/>
      <c r="E73" s="1922"/>
      <c r="F73" s="1922"/>
      <c r="G73" s="1922"/>
      <c r="H73" s="1922"/>
      <c r="I73" s="1922"/>
      <c r="J73" s="1922"/>
      <c r="K73" s="1922"/>
      <c r="L73" s="1922"/>
      <c r="M73" s="1922"/>
      <c r="N73" s="1922"/>
      <c r="O73" s="1976">
        <v>0</v>
      </c>
      <c r="P73" s="1976"/>
      <c r="Q73" s="1976"/>
      <c r="R73" s="1976"/>
      <c r="S73" s="1976"/>
      <c r="T73" s="1976"/>
      <c r="U73" s="1976"/>
      <c r="V73" s="1976"/>
      <c r="W73" s="1976"/>
      <c r="X73" s="1976"/>
      <c r="Y73" s="1976"/>
      <c r="Z73" s="1976"/>
      <c r="AA73" s="1977"/>
      <c r="AB73" s="971"/>
      <c r="AC73" s="2002" t="s">
        <v>1962</v>
      </c>
      <c r="AD73" s="2003"/>
      <c r="AE73" s="2003"/>
      <c r="AF73" s="2003"/>
      <c r="AG73" s="2003"/>
      <c r="AH73" s="2003"/>
      <c r="AI73" s="2003"/>
      <c r="AJ73" s="2003"/>
      <c r="AK73" s="2003"/>
      <c r="AL73" s="2003"/>
      <c r="AM73" s="2003"/>
      <c r="AN73" s="2003"/>
      <c r="AO73" s="2003"/>
      <c r="AP73" s="2003"/>
      <c r="AQ73" s="2003"/>
      <c r="AR73" s="2003"/>
      <c r="AS73" s="2003"/>
      <c r="AT73" s="2003"/>
      <c r="AU73" s="2003"/>
      <c r="AV73" s="2003"/>
      <c r="AW73" s="2003"/>
      <c r="AX73" s="2003"/>
      <c r="AY73" s="2003"/>
      <c r="AZ73" s="2003"/>
      <c r="BA73" s="2003"/>
      <c r="BB73" s="2003"/>
      <c r="BC73" s="2004"/>
      <c r="BD73" s="971"/>
      <c r="BE73" s="974"/>
      <c r="CK73" s="969"/>
      <c r="CL73" s="969"/>
      <c r="CM73" s="969"/>
      <c r="CN73" s="969"/>
      <c r="CO73" s="969"/>
      <c r="CP73" s="969"/>
    </row>
    <row r="74" spans="1:94" ht="15.75" customHeight="1">
      <c r="A74" s="971"/>
      <c r="B74" s="2008"/>
      <c r="C74" s="1940"/>
      <c r="D74" s="1940"/>
      <c r="E74" s="1940"/>
      <c r="F74" s="1940"/>
      <c r="G74" s="1940"/>
      <c r="H74" s="1940"/>
      <c r="I74" s="1940"/>
      <c r="J74" s="1940"/>
      <c r="K74" s="1940"/>
      <c r="L74" s="1940"/>
      <c r="M74" s="1940"/>
      <c r="N74" s="1940"/>
      <c r="O74" s="1976"/>
      <c r="P74" s="1976"/>
      <c r="Q74" s="1976"/>
      <c r="R74" s="1976"/>
      <c r="S74" s="1976"/>
      <c r="T74" s="1976"/>
      <c r="U74" s="1976"/>
      <c r="V74" s="1976"/>
      <c r="W74" s="1976"/>
      <c r="X74" s="1976"/>
      <c r="Y74" s="1976"/>
      <c r="Z74" s="1976"/>
      <c r="AA74" s="1977"/>
      <c r="AB74" s="971"/>
      <c r="AC74" s="2002"/>
      <c r="AD74" s="2003"/>
      <c r="AE74" s="2003"/>
      <c r="AF74" s="2003"/>
      <c r="AG74" s="2003"/>
      <c r="AH74" s="2003"/>
      <c r="AI74" s="2003"/>
      <c r="AJ74" s="2003"/>
      <c r="AK74" s="2003"/>
      <c r="AL74" s="2003"/>
      <c r="AM74" s="2003"/>
      <c r="AN74" s="2003"/>
      <c r="AO74" s="2003"/>
      <c r="AP74" s="2003"/>
      <c r="AQ74" s="2003"/>
      <c r="AR74" s="2003"/>
      <c r="AS74" s="2003"/>
      <c r="AT74" s="2003"/>
      <c r="AU74" s="2003"/>
      <c r="AV74" s="2003"/>
      <c r="AW74" s="2003"/>
      <c r="AX74" s="2003"/>
      <c r="AY74" s="2003"/>
      <c r="AZ74" s="2003"/>
      <c r="BA74" s="2003"/>
      <c r="BB74" s="2003"/>
      <c r="BC74" s="2004"/>
      <c r="BD74" s="971"/>
      <c r="BE74" s="974"/>
      <c r="CK74" s="969"/>
      <c r="CL74" s="969"/>
      <c r="CM74" s="969"/>
      <c r="CN74" s="969"/>
      <c r="CO74" s="969"/>
      <c r="CP74" s="969"/>
    </row>
    <row r="75" spans="1:94" ht="15.75" customHeight="1" thickBot="1">
      <c r="A75" s="971"/>
      <c r="B75" s="2009" t="s">
        <v>1479</v>
      </c>
      <c r="C75" s="2010"/>
      <c r="D75" s="2010"/>
      <c r="E75" s="2010"/>
      <c r="F75" s="2010"/>
      <c r="G75" s="2010"/>
      <c r="H75" s="2010"/>
      <c r="I75" s="2010"/>
      <c r="J75" s="2010"/>
      <c r="K75" s="2010"/>
      <c r="L75" s="2010"/>
      <c r="M75" s="2010"/>
      <c r="N75" s="2010"/>
      <c r="O75" s="2011">
        <f>SUM(O70:AA74)</f>
        <v>0</v>
      </c>
      <c r="P75" s="2011"/>
      <c r="Q75" s="2011"/>
      <c r="R75" s="2011"/>
      <c r="S75" s="2011"/>
      <c r="T75" s="2011"/>
      <c r="U75" s="2011"/>
      <c r="V75" s="2011"/>
      <c r="W75" s="2011"/>
      <c r="X75" s="2011"/>
      <c r="Y75" s="2011"/>
      <c r="Z75" s="2011"/>
      <c r="AA75" s="2012"/>
      <c r="AB75" s="971"/>
      <c r="AC75" s="2002"/>
      <c r="AD75" s="2003"/>
      <c r="AE75" s="2003"/>
      <c r="AF75" s="2003"/>
      <c r="AG75" s="2003"/>
      <c r="AH75" s="2003"/>
      <c r="AI75" s="2003"/>
      <c r="AJ75" s="2003"/>
      <c r="AK75" s="2003"/>
      <c r="AL75" s="2003"/>
      <c r="AM75" s="2003"/>
      <c r="AN75" s="2003"/>
      <c r="AO75" s="2003"/>
      <c r="AP75" s="2003"/>
      <c r="AQ75" s="2003"/>
      <c r="AR75" s="2003"/>
      <c r="AS75" s="2003"/>
      <c r="AT75" s="2003"/>
      <c r="AU75" s="2003"/>
      <c r="AV75" s="2003"/>
      <c r="AW75" s="2003"/>
      <c r="AX75" s="2003"/>
      <c r="AY75" s="2003"/>
      <c r="AZ75" s="2003"/>
      <c r="BA75" s="2003"/>
      <c r="BB75" s="2003"/>
      <c r="BC75" s="2004"/>
      <c r="BD75" s="971"/>
      <c r="BE75" s="974"/>
      <c r="CK75" s="969"/>
      <c r="CL75" s="969"/>
      <c r="CM75" s="969"/>
      <c r="CN75" s="969"/>
      <c r="CO75" s="969"/>
      <c r="CP75" s="969"/>
    </row>
    <row r="76" spans="1:94" ht="15.75" customHeight="1">
      <c r="A76" s="971"/>
      <c r="B76" s="971"/>
      <c r="C76" s="971"/>
      <c r="D76" s="971"/>
      <c r="E76" s="971"/>
      <c r="F76" s="971"/>
      <c r="G76" s="971"/>
      <c r="H76" s="971"/>
      <c r="I76" s="971"/>
      <c r="J76" s="971"/>
      <c r="K76" s="971"/>
      <c r="L76" s="971"/>
      <c r="M76" s="971"/>
      <c r="N76" s="971"/>
      <c r="O76" s="971"/>
      <c r="P76" s="971"/>
      <c r="Q76" s="971"/>
      <c r="R76" s="971"/>
      <c r="S76" s="971"/>
      <c r="T76" s="971"/>
      <c r="U76" s="971"/>
      <c r="V76" s="971"/>
      <c r="W76" s="971"/>
      <c r="X76" s="971"/>
      <c r="Y76" s="971"/>
      <c r="Z76" s="971"/>
      <c r="AA76" s="971"/>
      <c r="AB76" s="971"/>
      <c r="AC76" s="2002"/>
      <c r="AD76" s="2003"/>
      <c r="AE76" s="2003"/>
      <c r="AF76" s="2003"/>
      <c r="AG76" s="2003"/>
      <c r="AH76" s="2003"/>
      <c r="AI76" s="2003"/>
      <c r="AJ76" s="2003"/>
      <c r="AK76" s="2003"/>
      <c r="AL76" s="2003"/>
      <c r="AM76" s="2003"/>
      <c r="AN76" s="2003"/>
      <c r="AO76" s="2003"/>
      <c r="AP76" s="2003"/>
      <c r="AQ76" s="2003"/>
      <c r="AR76" s="2003"/>
      <c r="AS76" s="2003"/>
      <c r="AT76" s="2003"/>
      <c r="AU76" s="2003"/>
      <c r="AV76" s="2003"/>
      <c r="AW76" s="2003"/>
      <c r="AX76" s="2003"/>
      <c r="AY76" s="2003"/>
      <c r="AZ76" s="2003"/>
      <c r="BA76" s="2003"/>
      <c r="BB76" s="2003"/>
      <c r="BC76" s="2004"/>
      <c r="BD76" s="971"/>
      <c r="BE76" s="974"/>
      <c r="CK76" s="969"/>
      <c r="CL76" s="969"/>
      <c r="CM76" s="969"/>
      <c r="CN76" s="969"/>
      <c r="CO76" s="969"/>
      <c r="CP76" s="969"/>
    </row>
    <row r="77" spans="1:94" ht="15.75" customHeight="1" thickBot="1">
      <c r="A77" s="971"/>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2005"/>
      <c r="AD77" s="2006"/>
      <c r="AE77" s="2006"/>
      <c r="AF77" s="2006"/>
      <c r="AG77" s="2006"/>
      <c r="AH77" s="2006"/>
      <c r="AI77" s="2006"/>
      <c r="AJ77" s="2006"/>
      <c r="AK77" s="2006"/>
      <c r="AL77" s="2006"/>
      <c r="AM77" s="2006"/>
      <c r="AN77" s="2006"/>
      <c r="AO77" s="2006"/>
      <c r="AP77" s="2006"/>
      <c r="AQ77" s="2006"/>
      <c r="AR77" s="2006"/>
      <c r="AS77" s="2006"/>
      <c r="AT77" s="2006"/>
      <c r="AU77" s="2006"/>
      <c r="AV77" s="2006"/>
      <c r="AW77" s="2006"/>
      <c r="AX77" s="2006"/>
      <c r="AY77" s="2006"/>
      <c r="AZ77" s="2006"/>
      <c r="BA77" s="2006"/>
      <c r="BB77" s="2006"/>
      <c r="BC77" s="2007"/>
      <c r="BD77" s="971"/>
      <c r="BE77" s="974"/>
      <c r="CK77" s="969"/>
      <c r="CL77" s="969"/>
      <c r="CM77" s="969"/>
      <c r="CN77" s="969"/>
      <c r="CO77" s="969"/>
      <c r="CP77" s="969"/>
    </row>
    <row r="78" spans="1:94" ht="15.75" customHeight="1" thickBot="1">
      <c r="A78" s="971"/>
      <c r="B78" s="982" t="s">
        <v>1963</v>
      </c>
      <c r="C78" s="983"/>
      <c r="D78" s="984"/>
      <c r="E78" s="984"/>
      <c r="F78" s="984"/>
      <c r="G78" s="984"/>
      <c r="H78" s="984"/>
      <c r="I78" s="984"/>
      <c r="J78" s="984"/>
      <c r="K78" s="984"/>
      <c r="L78" s="984"/>
      <c r="M78" s="984"/>
      <c r="N78" s="984"/>
      <c r="O78" s="984"/>
      <c r="P78" s="984"/>
      <c r="Q78" s="984"/>
      <c r="R78" s="984"/>
      <c r="S78" s="984"/>
      <c r="T78" s="985"/>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c r="AU78" s="971"/>
      <c r="AV78" s="971"/>
      <c r="AW78" s="971"/>
      <c r="AX78" s="971"/>
      <c r="AY78" s="971"/>
      <c r="AZ78" s="971"/>
      <c r="BA78" s="971"/>
      <c r="BB78" s="971"/>
      <c r="BC78" s="971"/>
      <c r="BD78" s="971"/>
      <c r="BE78" s="974"/>
      <c r="CK78" s="969"/>
      <c r="CL78" s="969"/>
      <c r="CM78" s="969"/>
      <c r="CN78" s="969"/>
      <c r="CO78" s="969"/>
      <c r="CP78" s="969"/>
    </row>
    <row r="79" spans="1:94" ht="15.75" customHeight="1">
      <c r="A79" s="971"/>
      <c r="B79" s="982" t="s">
        <v>1964</v>
      </c>
      <c r="C79" s="986"/>
      <c r="D79" s="986"/>
      <c r="E79" s="987"/>
      <c r="F79" s="1984"/>
      <c r="G79" s="1985"/>
      <c r="H79" s="1985"/>
      <c r="I79" s="1985"/>
      <c r="J79" s="1985"/>
      <c r="K79" s="1985"/>
      <c r="L79" s="1985"/>
      <c r="M79" s="1985"/>
      <c r="N79" s="1985"/>
      <c r="O79" s="1985"/>
      <c r="P79" s="1985"/>
      <c r="Q79" s="1985"/>
      <c r="R79" s="1985"/>
      <c r="S79" s="1985"/>
      <c r="T79" s="1986"/>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c r="AU79" s="971"/>
      <c r="AV79" s="971"/>
      <c r="AW79" s="971"/>
      <c r="AX79" s="971"/>
      <c r="AY79" s="971"/>
      <c r="AZ79" s="971"/>
      <c r="BA79" s="971"/>
      <c r="BB79" s="971"/>
      <c r="BC79" s="971"/>
      <c r="BD79" s="971"/>
      <c r="BE79" s="974"/>
      <c r="CK79" s="969"/>
      <c r="CL79" s="969"/>
      <c r="CM79" s="969"/>
      <c r="CN79" s="969"/>
      <c r="CO79" s="969"/>
      <c r="CP79" s="969"/>
    </row>
    <row r="80" spans="1:94" ht="15.75" customHeight="1" thickBot="1">
      <c r="A80" s="971"/>
      <c r="B80" s="1987" t="s">
        <v>1965</v>
      </c>
      <c r="C80" s="1988"/>
      <c r="D80" s="1988"/>
      <c r="E80" s="1988"/>
      <c r="F80" s="1988"/>
      <c r="G80" s="1988"/>
      <c r="H80" s="1988"/>
      <c r="I80" s="1988"/>
      <c r="J80" s="1988"/>
      <c r="K80" s="1988"/>
      <c r="L80" s="1988"/>
      <c r="M80" s="1988"/>
      <c r="N80" s="1988"/>
      <c r="O80" s="1988"/>
      <c r="P80" s="1988"/>
      <c r="Q80" s="1988"/>
      <c r="R80" s="1989" t="str">
        <f>IFERROR(INDEX(BR96:BR98,MATCH(F79,$BQ$96:$BQ$98,0))/SUM($BR$96:$BR$98),"")</f>
        <v/>
      </c>
      <c r="S80" s="1990"/>
      <c r="T80" s="1991"/>
      <c r="U80" s="971"/>
      <c r="V80" s="971"/>
      <c r="W80" s="971"/>
      <c r="X80" s="971"/>
      <c r="Y80" s="971"/>
      <c r="Z80" s="971"/>
      <c r="AA80" s="971"/>
      <c r="AB80" s="971"/>
      <c r="AC80" s="971"/>
      <c r="AD80" s="971"/>
      <c r="AE80" s="971"/>
      <c r="AF80" s="971"/>
      <c r="AG80" s="971"/>
      <c r="AH80" s="971"/>
      <c r="AI80" s="971"/>
      <c r="AJ80" s="971"/>
      <c r="AK80" s="971"/>
      <c r="AL80" s="971"/>
      <c r="AM80" s="971"/>
      <c r="AN80" s="971"/>
      <c r="AO80" s="971"/>
      <c r="AP80" s="971"/>
      <c r="AQ80" s="971"/>
      <c r="AR80" s="971"/>
      <c r="AS80" s="971"/>
      <c r="AT80" s="971"/>
      <c r="AU80" s="971"/>
      <c r="AV80" s="971"/>
      <c r="AW80" s="971"/>
      <c r="AX80" s="971"/>
      <c r="AY80" s="971"/>
      <c r="AZ80" s="971"/>
      <c r="BA80" s="971"/>
      <c r="BB80" s="971"/>
      <c r="BC80" s="971"/>
      <c r="BD80" s="971"/>
      <c r="BE80" s="974"/>
      <c r="CK80" s="969"/>
      <c r="CL80" s="969"/>
      <c r="CM80" s="969"/>
      <c r="CN80" s="969"/>
      <c r="CO80" s="969"/>
      <c r="CP80" s="969"/>
    </row>
    <row r="81" spans="1:94" ht="15.75" customHeight="1" thickBot="1">
      <c r="A81" s="971"/>
      <c r="B81" s="1992" t="s">
        <v>1966</v>
      </c>
      <c r="C81" s="1993"/>
      <c r="D81" s="1993"/>
      <c r="E81" s="1993"/>
      <c r="F81" s="1993"/>
      <c r="G81" s="1993"/>
      <c r="H81" s="1993"/>
      <c r="I81" s="1993"/>
      <c r="J81" s="1993"/>
      <c r="K81" s="1993"/>
      <c r="L81" s="1993"/>
      <c r="M81" s="1993"/>
      <c r="N81" s="1993"/>
      <c r="O81" s="1993"/>
      <c r="P81" s="1993"/>
      <c r="Q81" s="1993"/>
      <c r="R81" s="1994" t="s">
        <v>1967</v>
      </c>
      <c r="S81" s="1995"/>
      <c r="T81" s="1996"/>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c r="AU81" s="971"/>
      <c r="AV81" s="971"/>
      <c r="AW81" s="971"/>
      <c r="AX81" s="971"/>
      <c r="AY81" s="971"/>
      <c r="AZ81" s="971"/>
      <c r="BA81" s="971"/>
      <c r="BB81" s="971"/>
      <c r="BC81" s="971"/>
      <c r="BD81" s="971"/>
      <c r="BE81" s="974"/>
      <c r="CK81" s="969"/>
      <c r="CL81" s="969"/>
      <c r="CM81" s="969"/>
      <c r="CN81" s="969"/>
      <c r="CO81" s="969"/>
      <c r="CP81" s="969"/>
    </row>
    <row r="82" spans="1:94" ht="15.75" customHeight="1" thickBo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c r="AU82" s="971"/>
      <c r="AV82" s="971"/>
      <c r="AW82" s="971"/>
      <c r="AX82" s="971"/>
      <c r="AY82" s="971"/>
      <c r="AZ82" s="971"/>
      <c r="BA82" s="971"/>
      <c r="BB82" s="971"/>
      <c r="BC82" s="971"/>
      <c r="BD82" s="971"/>
      <c r="BE82" s="974"/>
      <c r="CK82" s="969"/>
      <c r="CL82" s="969"/>
      <c r="CM82" s="969"/>
      <c r="CN82" s="969"/>
      <c r="CO82" s="969"/>
      <c r="CP82" s="969"/>
    </row>
    <row r="83" spans="1:94" ht="15.75" customHeight="1">
      <c r="A83" s="971"/>
      <c r="B83" s="1997" t="s">
        <v>1968</v>
      </c>
      <c r="C83" s="1998"/>
      <c r="D83" s="1998"/>
      <c r="E83" s="1998"/>
      <c r="F83" s="1998"/>
      <c r="G83" s="1998"/>
      <c r="H83" s="1998"/>
      <c r="I83" s="1998"/>
      <c r="J83" s="1998"/>
      <c r="K83" s="1998"/>
      <c r="L83" s="1998"/>
      <c r="M83" s="1998"/>
      <c r="N83" s="1998"/>
      <c r="O83" s="1998"/>
      <c r="P83" s="1998"/>
      <c r="Q83" s="1998"/>
      <c r="R83" s="1998"/>
      <c r="S83" s="1998"/>
      <c r="T83" s="1998"/>
      <c r="U83" s="1998"/>
      <c r="V83" s="1998"/>
      <c r="W83" s="1998"/>
      <c r="X83" s="1998"/>
      <c r="Y83" s="1998"/>
      <c r="Z83" s="1998"/>
      <c r="AA83" s="1998"/>
      <c r="AB83" s="1998"/>
      <c r="AC83" s="1998"/>
      <c r="AD83" s="1998"/>
      <c r="AE83" s="1998"/>
      <c r="AF83" s="1998"/>
      <c r="AG83" s="1998"/>
      <c r="AH83" s="1999"/>
      <c r="AI83" s="971"/>
      <c r="AJ83" s="2015" t="s">
        <v>1969</v>
      </c>
      <c r="AK83" s="2016"/>
      <c r="AL83" s="2016"/>
      <c r="AM83" s="2016"/>
      <c r="AN83" s="2016"/>
      <c r="AO83" s="2016"/>
      <c r="AP83" s="2016"/>
      <c r="AQ83" s="2016"/>
      <c r="AR83" s="2016"/>
      <c r="AS83" s="2016"/>
      <c r="AT83" s="2016"/>
      <c r="AU83" s="2016"/>
      <c r="AV83" s="2016"/>
      <c r="AW83" s="2016"/>
      <c r="AX83" s="2016"/>
      <c r="AY83" s="2019" t="s">
        <v>847</v>
      </c>
      <c r="AZ83" s="2019"/>
      <c r="BA83" s="2019"/>
      <c r="BB83" s="2020"/>
      <c r="BC83" s="971"/>
      <c r="BD83" s="971"/>
      <c r="BE83" s="974"/>
      <c r="CK83" s="969"/>
      <c r="CL83" s="969"/>
      <c r="CM83" s="969"/>
      <c r="CN83" s="969"/>
      <c r="CO83" s="969"/>
      <c r="CP83" s="969"/>
    </row>
    <row r="84" spans="1:94" ht="15.75" customHeight="1">
      <c r="A84" s="971"/>
      <c r="B84" s="1936"/>
      <c r="C84" s="1937"/>
      <c r="D84" s="1937"/>
      <c r="E84" s="1937"/>
      <c r="F84" s="1937"/>
      <c r="G84" s="1937"/>
      <c r="H84" s="1937"/>
      <c r="I84" s="1937" t="s">
        <v>1970</v>
      </c>
      <c r="J84" s="1937"/>
      <c r="K84" s="1937"/>
      <c r="L84" s="1937"/>
      <c r="M84" s="1937"/>
      <c r="N84" s="1937"/>
      <c r="O84" s="1937" t="s">
        <v>1971</v>
      </c>
      <c r="P84" s="1937"/>
      <c r="Q84" s="1937"/>
      <c r="R84" s="1937"/>
      <c r="S84" s="1937"/>
      <c r="T84" s="1937"/>
      <c r="U84" s="1937"/>
      <c r="V84" s="2023" t="s">
        <v>1972</v>
      </c>
      <c r="W84" s="2023"/>
      <c r="X84" s="2023"/>
      <c r="Y84" s="2023"/>
      <c r="Z84" s="2023"/>
      <c r="AA84" s="2023"/>
      <c r="AB84" s="2024" t="s">
        <v>1973</v>
      </c>
      <c r="AC84" s="2024"/>
      <c r="AD84" s="2024"/>
      <c r="AE84" s="2024"/>
      <c r="AF84" s="2024"/>
      <c r="AG84" s="2024"/>
      <c r="AH84" s="2025"/>
      <c r="AI84" s="971"/>
      <c r="AJ84" s="2017"/>
      <c r="AK84" s="2018"/>
      <c r="AL84" s="2018"/>
      <c r="AM84" s="2018"/>
      <c r="AN84" s="2018"/>
      <c r="AO84" s="2018"/>
      <c r="AP84" s="2018"/>
      <c r="AQ84" s="2018"/>
      <c r="AR84" s="2018"/>
      <c r="AS84" s="2018"/>
      <c r="AT84" s="2018"/>
      <c r="AU84" s="2018"/>
      <c r="AV84" s="2018"/>
      <c r="AW84" s="2018"/>
      <c r="AX84" s="2018"/>
      <c r="AY84" s="2021"/>
      <c r="AZ84" s="2021"/>
      <c r="BA84" s="2021"/>
      <c r="BB84" s="2022"/>
      <c r="BC84" s="971"/>
      <c r="BD84" s="971"/>
      <c r="BE84" s="974"/>
      <c r="CK84" s="969"/>
      <c r="CL84" s="969"/>
      <c r="CM84" s="969"/>
      <c r="CN84" s="969"/>
      <c r="CO84" s="969"/>
      <c r="CP84" s="969"/>
    </row>
    <row r="85" spans="1:94" ht="15.75" customHeight="1">
      <c r="A85" s="971"/>
      <c r="B85" s="1936"/>
      <c r="C85" s="1937"/>
      <c r="D85" s="1937"/>
      <c r="E85" s="1937"/>
      <c r="F85" s="1937"/>
      <c r="G85" s="1937"/>
      <c r="H85" s="1937"/>
      <c r="I85" s="1937"/>
      <c r="J85" s="1937"/>
      <c r="K85" s="1937"/>
      <c r="L85" s="1937"/>
      <c r="M85" s="1937"/>
      <c r="N85" s="1937"/>
      <c r="O85" s="1937"/>
      <c r="P85" s="1937"/>
      <c r="Q85" s="1937"/>
      <c r="R85" s="1937"/>
      <c r="S85" s="1937"/>
      <c r="T85" s="1937"/>
      <c r="U85" s="1937"/>
      <c r="V85" s="2023"/>
      <c r="W85" s="2023"/>
      <c r="X85" s="2023"/>
      <c r="Y85" s="2023"/>
      <c r="Z85" s="2023"/>
      <c r="AA85" s="2023"/>
      <c r="AB85" s="2024"/>
      <c r="AC85" s="2024"/>
      <c r="AD85" s="2024"/>
      <c r="AE85" s="2024"/>
      <c r="AF85" s="2024"/>
      <c r="AG85" s="2024"/>
      <c r="AH85" s="2025"/>
      <c r="AI85" s="971"/>
      <c r="AJ85" s="2017"/>
      <c r="AK85" s="2018"/>
      <c r="AL85" s="2018"/>
      <c r="AM85" s="2018"/>
      <c r="AN85" s="2018"/>
      <c r="AO85" s="2018"/>
      <c r="AP85" s="2018"/>
      <c r="AQ85" s="2018"/>
      <c r="AR85" s="2018"/>
      <c r="AS85" s="2018"/>
      <c r="AT85" s="2018"/>
      <c r="AU85" s="2018"/>
      <c r="AV85" s="2018"/>
      <c r="AW85" s="2018"/>
      <c r="AX85" s="2018"/>
      <c r="AY85" s="2021"/>
      <c r="AZ85" s="2021"/>
      <c r="BA85" s="2021"/>
      <c r="BB85" s="2022"/>
      <c r="BC85" s="971"/>
      <c r="BD85" s="971"/>
      <c r="BE85" s="974"/>
      <c r="CK85" s="969"/>
      <c r="CL85" s="969"/>
      <c r="CM85" s="969"/>
      <c r="CN85" s="969"/>
      <c r="CO85" s="969"/>
      <c r="CP85" s="969"/>
    </row>
    <row r="86" spans="1:94" ht="15.75" customHeight="1">
      <c r="A86" s="971"/>
      <c r="B86" s="1936" t="s">
        <v>1974</v>
      </c>
      <c r="C86" s="1937"/>
      <c r="D86" s="1937"/>
      <c r="E86" s="1937"/>
      <c r="F86" s="1937"/>
      <c r="G86" s="1937"/>
      <c r="H86" s="1937"/>
      <c r="I86" s="2013">
        <v>0</v>
      </c>
      <c r="J86" s="2013"/>
      <c r="K86" s="2013"/>
      <c r="L86" s="2013"/>
      <c r="M86" s="2013"/>
      <c r="N86" s="2013"/>
      <c r="O86" s="2013">
        <v>0</v>
      </c>
      <c r="P86" s="2013"/>
      <c r="Q86" s="2013"/>
      <c r="R86" s="2013"/>
      <c r="S86" s="2013"/>
      <c r="T86" s="2013"/>
      <c r="U86" s="2013"/>
      <c r="V86" s="2013">
        <v>0</v>
      </c>
      <c r="W86" s="2013"/>
      <c r="X86" s="2013"/>
      <c r="Y86" s="2013"/>
      <c r="Z86" s="2013"/>
      <c r="AA86" s="2013"/>
      <c r="AB86" s="2013">
        <v>0</v>
      </c>
      <c r="AC86" s="2013"/>
      <c r="AD86" s="2013"/>
      <c r="AE86" s="2013"/>
      <c r="AF86" s="2013"/>
      <c r="AG86" s="2013"/>
      <c r="AH86" s="2014"/>
      <c r="AI86" s="971"/>
      <c r="AJ86" s="2017"/>
      <c r="AK86" s="2018"/>
      <c r="AL86" s="2018"/>
      <c r="AM86" s="2018"/>
      <c r="AN86" s="2018"/>
      <c r="AO86" s="2018"/>
      <c r="AP86" s="2018"/>
      <c r="AQ86" s="2018"/>
      <c r="AR86" s="2018"/>
      <c r="AS86" s="2018"/>
      <c r="AT86" s="2018"/>
      <c r="AU86" s="2018"/>
      <c r="AV86" s="2018"/>
      <c r="AW86" s="2018"/>
      <c r="AX86" s="2018"/>
      <c r="AY86" s="2021"/>
      <c r="AZ86" s="2021"/>
      <c r="BA86" s="2021"/>
      <c r="BB86" s="2022"/>
      <c r="BC86" s="971"/>
      <c r="BD86" s="971"/>
      <c r="BE86" s="974"/>
      <c r="CK86" s="969"/>
      <c r="CL86" s="969"/>
      <c r="CM86" s="969"/>
      <c r="CN86" s="969"/>
      <c r="CO86" s="969"/>
      <c r="CP86" s="969"/>
    </row>
    <row r="87" spans="1:94" ht="15.75" customHeight="1">
      <c r="A87" s="971"/>
      <c r="B87" s="1936" t="s">
        <v>1975</v>
      </c>
      <c r="C87" s="1937"/>
      <c r="D87" s="1937"/>
      <c r="E87" s="1937"/>
      <c r="F87" s="1937"/>
      <c r="G87" s="1937"/>
      <c r="H87" s="1937"/>
      <c r="I87" s="2013">
        <v>0</v>
      </c>
      <c r="J87" s="2013"/>
      <c r="K87" s="2013"/>
      <c r="L87" s="2013"/>
      <c r="M87" s="2013"/>
      <c r="N87" s="2013"/>
      <c r="O87" s="2013">
        <v>0</v>
      </c>
      <c r="P87" s="2013"/>
      <c r="Q87" s="2013"/>
      <c r="R87" s="2013"/>
      <c r="S87" s="2013"/>
      <c r="T87" s="2013"/>
      <c r="U87" s="2013"/>
      <c r="V87" s="2013">
        <v>0</v>
      </c>
      <c r="W87" s="2013"/>
      <c r="X87" s="2013"/>
      <c r="Y87" s="2013"/>
      <c r="Z87" s="2013"/>
      <c r="AA87" s="2013"/>
      <c r="AB87" s="2013">
        <v>0</v>
      </c>
      <c r="AC87" s="2013"/>
      <c r="AD87" s="2013"/>
      <c r="AE87" s="2013"/>
      <c r="AF87" s="2013"/>
      <c r="AG87" s="2013"/>
      <c r="AH87" s="2014"/>
      <c r="AI87" s="971"/>
      <c r="AJ87" s="2002" t="s">
        <v>1976</v>
      </c>
      <c r="AK87" s="2003"/>
      <c r="AL87" s="2003"/>
      <c r="AM87" s="2003"/>
      <c r="AN87" s="2003"/>
      <c r="AO87" s="2003"/>
      <c r="AP87" s="2003"/>
      <c r="AQ87" s="2003"/>
      <c r="AR87" s="2003"/>
      <c r="AS87" s="2003"/>
      <c r="AT87" s="2003"/>
      <c r="AU87" s="2003"/>
      <c r="AV87" s="2003"/>
      <c r="AW87" s="2003"/>
      <c r="AX87" s="2003"/>
      <c r="AY87" s="2003"/>
      <c r="AZ87" s="2003"/>
      <c r="BA87" s="2003"/>
      <c r="BB87" s="2004"/>
      <c r="BC87" s="971"/>
      <c r="BD87" s="971"/>
      <c r="BE87" s="974"/>
      <c r="CK87" s="969"/>
      <c r="CL87" s="969"/>
      <c r="CM87" s="969"/>
      <c r="CN87" s="969"/>
      <c r="CO87" s="969"/>
      <c r="CP87" s="969"/>
    </row>
    <row r="88" spans="1:94" ht="15.75" customHeight="1" thickBot="1">
      <c r="A88" s="971"/>
      <c r="B88" s="1954" t="s">
        <v>1977</v>
      </c>
      <c r="C88" s="1955"/>
      <c r="D88" s="1955"/>
      <c r="E88" s="1955"/>
      <c r="F88" s="1955"/>
      <c r="G88" s="1955"/>
      <c r="H88" s="1955"/>
      <c r="I88" s="2028">
        <v>0</v>
      </c>
      <c r="J88" s="2028"/>
      <c r="K88" s="2028"/>
      <c r="L88" s="2028"/>
      <c r="M88" s="2028"/>
      <c r="N88" s="2028"/>
      <c r="O88" s="2028">
        <v>0</v>
      </c>
      <c r="P88" s="2028"/>
      <c r="Q88" s="2028"/>
      <c r="R88" s="2028"/>
      <c r="S88" s="2028"/>
      <c r="T88" s="2028"/>
      <c r="U88" s="2028"/>
      <c r="V88" s="2028">
        <v>0</v>
      </c>
      <c r="W88" s="2028"/>
      <c r="X88" s="2028"/>
      <c r="Y88" s="2028"/>
      <c r="Z88" s="2028"/>
      <c r="AA88" s="2028"/>
      <c r="AB88" s="2028">
        <v>0</v>
      </c>
      <c r="AC88" s="2028"/>
      <c r="AD88" s="2028"/>
      <c r="AE88" s="2028"/>
      <c r="AF88" s="2028"/>
      <c r="AG88" s="2028"/>
      <c r="AH88" s="2029"/>
      <c r="AI88" s="971"/>
      <c r="AJ88" s="2005"/>
      <c r="AK88" s="2006"/>
      <c r="AL88" s="2006"/>
      <c r="AM88" s="2006"/>
      <c r="AN88" s="2006"/>
      <c r="AO88" s="2006"/>
      <c r="AP88" s="2006"/>
      <c r="AQ88" s="2006"/>
      <c r="AR88" s="2006"/>
      <c r="AS88" s="2006"/>
      <c r="AT88" s="2006"/>
      <c r="AU88" s="2006"/>
      <c r="AV88" s="2006"/>
      <c r="AW88" s="2006"/>
      <c r="AX88" s="2006"/>
      <c r="AY88" s="2006"/>
      <c r="AZ88" s="2006"/>
      <c r="BA88" s="2006"/>
      <c r="BB88" s="2007"/>
      <c r="BC88" s="971"/>
      <c r="BD88" s="971"/>
      <c r="BE88" s="974"/>
      <c r="CK88" s="969"/>
      <c r="CL88" s="969"/>
      <c r="CM88" s="969"/>
      <c r="CN88" s="969"/>
      <c r="CO88" s="969"/>
      <c r="CP88" s="969"/>
    </row>
    <row r="89" spans="1:94" ht="15.75" customHeight="1">
      <c r="A89" s="971"/>
      <c r="B89" s="971"/>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c r="AL89" s="971"/>
      <c r="AM89" s="971"/>
      <c r="AN89" s="971"/>
      <c r="AO89" s="971"/>
      <c r="AP89" s="971"/>
      <c r="AQ89" s="971"/>
      <c r="AR89" s="971"/>
      <c r="AS89" s="971"/>
      <c r="AT89" s="971"/>
      <c r="AU89" s="971"/>
      <c r="AV89" s="971"/>
      <c r="AW89" s="971"/>
      <c r="AX89" s="971"/>
      <c r="AY89" s="971"/>
      <c r="AZ89" s="971"/>
      <c r="BA89" s="971"/>
      <c r="BB89" s="971"/>
      <c r="BC89" s="971"/>
      <c r="BD89" s="971"/>
      <c r="BE89" s="974"/>
      <c r="CM89" s="969"/>
      <c r="CN89" s="969"/>
      <c r="CO89" s="969"/>
      <c r="CP89" s="969"/>
    </row>
    <row r="90" spans="1:94" ht="15.75" customHeight="1" thickBot="1">
      <c r="A90" s="971"/>
      <c r="B90" s="971"/>
      <c r="C90" s="971"/>
      <c r="D90" s="971"/>
      <c r="E90" s="971"/>
      <c r="F90" s="971"/>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4"/>
      <c r="CM90" s="969"/>
      <c r="CN90" s="969"/>
      <c r="CO90" s="969"/>
      <c r="CP90" s="969"/>
    </row>
    <row r="91" spans="1:94" ht="15.75" customHeight="1" thickBot="1">
      <c r="A91" s="971"/>
      <c r="B91" s="982" t="s">
        <v>1978</v>
      </c>
      <c r="C91" s="988"/>
      <c r="D91" s="989"/>
      <c r="E91" s="990"/>
      <c r="F91" s="990"/>
      <c r="G91" s="990"/>
      <c r="H91" s="990"/>
      <c r="I91" s="990"/>
      <c r="J91" s="990"/>
      <c r="K91" s="990"/>
      <c r="L91" s="990"/>
      <c r="M91" s="990"/>
      <c r="N91" s="990"/>
      <c r="O91" s="990"/>
      <c r="P91" s="990"/>
      <c r="Q91" s="990"/>
      <c r="R91" s="990"/>
      <c r="S91" s="990"/>
      <c r="T91" s="991"/>
      <c r="U91" s="971"/>
      <c r="V91" s="971"/>
      <c r="W91" s="971"/>
      <c r="X91" s="971"/>
      <c r="Y91" s="971"/>
      <c r="Z91" s="971"/>
      <c r="AA91" s="971"/>
      <c r="AB91" s="971"/>
      <c r="AC91" s="971"/>
      <c r="AD91" s="971"/>
      <c r="AE91" s="971"/>
      <c r="AF91" s="971"/>
      <c r="AG91" s="971"/>
      <c r="AH91" s="971"/>
      <c r="AI91" s="971"/>
      <c r="AJ91" s="971"/>
      <c r="AK91" s="971"/>
      <c r="AL91" s="971"/>
      <c r="AM91" s="971"/>
      <c r="AN91" s="971"/>
      <c r="AO91" s="971"/>
      <c r="AP91" s="971"/>
      <c r="AQ91" s="971"/>
      <c r="AR91" s="971"/>
      <c r="AS91" s="971"/>
      <c r="AT91" s="971"/>
      <c r="AU91" s="971"/>
      <c r="AV91" s="971"/>
      <c r="AW91" s="971"/>
      <c r="AX91" s="971"/>
      <c r="AY91" s="971"/>
      <c r="AZ91" s="971"/>
      <c r="BA91" s="971"/>
      <c r="BB91" s="971"/>
      <c r="BC91" s="971"/>
      <c r="BD91" s="971"/>
      <c r="BE91" s="974"/>
      <c r="BQ91" s="1098"/>
      <c r="CM91" s="969"/>
      <c r="CN91" s="969"/>
      <c r="CO91" s="969"/>
      <c r="CP91" s="969"/>
    </row>
    <row r="92" spans="1:94" ht="15.75" customHeight="1">
      <c r="A92" s="971"/>
      <c r="B92" s="992" t="s">
        <v>1964</v>
      </c>
      <c r="C92" s="992"/>
      <c r="D92" s="993"/>
      <c r="E92" s="994"/>
      <c r="F92" s="1984"/>
      <c r="G92" s="1985"/>
      <c r="H92" s="1985"/>
      <c r="I92" s="1985"/>
      <c r="J92" s="1985"/>
      <c r="K92" s="1985"/>
      <c r="L92" s="1985"/>
      <c r="M92" s="1985"/>
      <c r="N92" s="1985"/>
      <c r="O92" s="1985"/>
      <c r="P92" s="1985"/>
      <c r="Q92" s="1985"/>
      <c r="R92" s="1985"/>
      <c r="S92" s="1985"/>
      <c r="T92" s="1986"/>
      <c r="U92" s="971"/>
      <c r="V92" s="971"/>
      <c r="W92" s="971"/>
      <c r="X92" s="971"/>
      <c r="Y92" s="971"/>
      <c r="Z92" s="971"/>
      <c r="AA92" s="971"/>
      <c r="AB92" s="971"/>
      <c r="AC92" s="971"/>
      <c r="AD92" s="971"/>
      <c r="AE92" s="971"/>
      <c r="AF92" s="971"/>
      <c r="AG92" s="971"/>
      <c r="AH92" s="971"/>
      <c r="AI92" s="971"/>
      <c r="AJ92" s="971"/>
      <c r="AK92" s="971"/>
      <c r="AL92" s="971"/>
      <c r="AM92" s="971"/>
      <c r="AN92" s="971"/>
      <c r="AO92" s="971"/>
      <c r="AP92" s="971"/>
      <c r="AQ92" s="971"/>
      <c r="AR92" s="971"/>
      <c r="AS92" s="971"/>
      <c r="AT92" s="971"/>
      <c r="AU92" s="971"/>
      <c r="AV92" s="971"/>
      <c r="AW92" s="971"/>
      <c r="AX92" s="971"/>
      <c r="AY92" s="971"/>
      <c r="AZ92" s="971"/>
      <c r="BA92" s="971"/>
      <c r="BB92" s="971"/>
      <c r="BC92" s="971"/>
      <c r="BD92" s="971"/>
      <c r="BE92" s="974"/>
      <c r="CM92" s="969"/>
      <c r="CN92" s="969"/>
      <c r="CO92" s="969"/>
      <c r="CP92" s="969"/>
    </row>
    <row r="93" spans="1:94" ht="15.75" customHeight="1" thickBot="1">
      <c r="A93" s="971"/>
      <c r="B93" s="1987" t="s">
        <v>1979</v>
      </c>
      <c r="C93" s="1988"/>
      <c r="D93" s="1988"/>
      <c r="E93" s="1988"/>
      <c r="F93" s="1988"/>
      <c r="G93" s="1988"/>
      <c r="H93" s="1988"/>
      <c r="I93" s="1988"/>
      <c r="J93" s="1988"/>
      <c r="K93" s="1988"/>
      <c r="L93" s="1988"/>
      <c r="M93" s="1988"/>
      <c r="N93" s="1988"/>
      <c r="O93" s="1988"/>
      <c r="P93" s="1988"/>
      <c r="Q93" s="2026"/>
      <c r="R93" s="1989" t="str">
        <f>IFERROR(INDEX(BR96:BR98,MATCH(F92,$BQ$96:$BQ$98,0))/SUM($BR$96:$BR$98),"")</f>
        <v/>
      </c>
      <c r="S93" s="1990"/>
      <c r="T93" s="1991"/>
      <c r="U93" s="971"/>
      <c r="V93" s="971"/>
      <c r="W93" s="971"/>
      <c r="X93" s="971"/>
      <c r="Y93" s="971"/>
      <c r="Z93" s="971"/>
      <c r="AA93" s="971"/>
      <c r="AB93" s="971"/>
      <c r="AC93" s="971"/>
      <c r="AD93" s="971"/>
      <c r="AE93" s="971"/>
      <c r="AF93" s="971"/>
      <c r="AG93" s="971"/>
      <c r="AH93" s="971"/>
      <c r="AI93" s="971"/>
      <c r="AJ93" s="971"/>
      <c r="AK93" s="971"/>
      <c r="AL93" s="971"/>
      <c r="AM93" s="971"/>
      <c r="AN93" s="971"/>
      <c r="AO93" s="971"/>
      <c r="AP93" s="971"/>
      <c r="AQ93" s="971"/>
      <c r="AR93" s="971"/>
      <c r="AS93" s="971"/>
      <c r="AT93" s="971"/>
      <c r="AU93" s="971"/>
      <c r="AV93" s="971"/>
      <c r="AW93" s="971"/>
      <c r="AX93" s="971"/>
      <c r="AY93" s="971"/>
      <c r="AZ93" s="971"/>
      <c r="BA93" s="971"/>
      <c r="BB93" s="971"/>
      <c r="BC93" s="971"/>
      <c r="BD93" s="971"/>
      <c r="BE93" s="974"/>
      <c r="CM93" s="969"/>
      <c r="CN93" s="969"/>
      <c r="CO93" s="969"/>
      <c r="CP93" s="969"/>
    </row>
    <row r="94" spans="1:94" ht="15.75" customHeight="1" thickBot="1">
      <c r="A94" s="971"/>
      <c r="B94" s="1992" t="s">
        <v>1980</v>
      </c>
      <c r="C94" s="1993"/>
      <c r="D94" s="1993"/>
      <c r="E94" s="1993"/>
      <c r="F94" s="1993"/>
      <c r="G94" s="1993"/>
      <c r="H94" s="1993"/>
      <c r="I94" s="1993"/>
      <c r="J94" s="1993"/>
      <c r="K94" s="1993"/>
      <c r="L94" s="1993"/>
      <c r="M94" s="1993"/>
      <c r="N94" s="1993"/>
      <c r="O94" s="1993"/>
      <c r="P94" s="1993"/>
      <c r="Q94" s="2027"/>
      <c r="R94" s="1994" t="s">
        <v>1967</v>
      </c>
      <c r="S94" s="1995"/>
      <c r="T94" s="1996"/>
      <c r="U94" s="971"/>
      <c r="V94" s="971"/>
      <c r="W94" s="971"/>
      <c r="X94" s="971"/>
      <c r="Y94" s="971"/>
      <c r="Z94" s="971"/>
      <c r="AA94" s="971"/>
      <c r="AB94" s="971"/>
      <c r="AC94" s="971"/>
      <c r="AD94" s="971"/>
      <c r="AE94" s="971"/>
      <c r="AF94" s="971"/>
      <c r="AG94" s="971"/>
      <c r="AH94" s="971"/>
      <c r="AI94" s="971"/>
      <c r="AJ94" s="971"/>
      <c r="AK94" s="971"/>
      <c r="AL94" s="971"/>
      <c r="AM94" s="971"/>
      <c r="AN94" s="971"/>
      <c r="AO94" s="971"/>
      <c r="AP94" s="971"/>
      <c r="AQ94" s="971"/>
      <c r="AR94" s="971"/>
      <c r="AS94" s="971"/>
      <c r="AT94" s="971"/>
      <c r="AU94" s="971"/>
      <c r="AV94" s="971"/>
      <c r="AW94" s="971"/>
      <c r="AX94" s="971"/>
      <c r="AY94" s="971"/>
      <c r="AZ94" s="971"/>
      <c r="BA94" s="971"/>
      <c r="BB94" s="971"/>
      <c r="BC94" s="971"/>
      <c r="BD94" s="971"/>
      <c r="BE94" s="974"/>
      <c r="CM94" s="969"/>
      <c r="CN94" s="969"/>
      <c r="CO94" s="969"/>
      <c r="CP94" s="969"/>
    </row>
    <row r="95" spans="1:94" ht="15.75" customHeight="1" thickBot="1">
      <c r="A95" s="971"/>
      <c r="B95" s="971"/>
      <c r="C95" s="971"/>
      <c r="D95" s="971"/>
      <c r="E95" s="971"/>
      <c r="F95" s="97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971"/>
      <c r="AM95" s="971"/>
      <c r="AN95" s="971"/>
      <c r="AO95" s="971"/>
      <c r="AP95" s="971"/>
      <c r="AQ95" s="971"/>
      <c r="AR95" s="971"/>
      <c r="AS95" s="971"/>
      <c r="AT95" s="971"/>
      <c r="AU95" s="971"/>
      <c r="AV95" s="971"/>
      <c r="AW95" s="971"/>
      <c r="AX95" s="971"/>
      <c r="AY95" s="971"/>
      <c r="AZ95" s="971"/>
      <c r="BA95" s="971"/>
      <c r="BB95" s="971"/>
      <c r="BC95" s="971"/>
      <c r="BD95" s="971"/>
      <c r="BE95" s="974"/>
      <c r="CM95" s="969"/>
      <c r="CN95" s="969"/>
      <c r="CO95" s="969"/>
      <c r="CP95" s="969"/>
    </row>
    <row r="96" spans="1:94" ht="15.75" customHeight="1">
      <c r="A96" s="971"/>
      <c r="B96" s="1997" t="s">
        <v>1981</v>
      </c>
      <c r="C96" s="1998"/>
      <c r="D96" s="1998"/>
      <c r="E96" s="1998"/>
      <c r="F96" s="1998"/>
      <c r="G96" s="1998"/>
      <c r="H96" s="1998"/>
      <c r="I96" s="1998"/>
      <c r="J96" s="1998"/>
      <c r="K96" s="1998"/>
      <c r="L96" s="1998"/>
      <c r="M96" s="1998"/>
      <c r="N96" s="1998"/>
      <c r="O96" s="1998"/>
      <c r="P96" s="1998"/>
      <c r="Q96" s="1998"/>
      <c r="R96" s="1998"/>
      <c r="S96" s="1998"/>
      <c r="T96" s="1998"/>
      <c r="U96" s="1998"/>
      <c r="V96" s="1998"/>
      <c r="W96" s="1998"/>
      <c r="X96" s="1998"/>
      <c r="Y96" s="1998"/>
      <c r="Z96" s="1998"/>
      <c r="AA96" s="1998"/>
      <c r="AB96" s="1998"/>
      <c r="AC96" s="1998"/>
      <c r="AD96" s="1998"/>
      <c r="AE96" s="1998"/>
      <c r="AF96" s="1998"/>
      <c r="AG96" s="1998"/>
      <c r="AH96" s="1999"/>
      <c r="AI96" s="971"/>
      <c r="AJ96" s="2015" t="s">
        <v>1982</v>
      </c>
      <c r="AK96" s="2016"/>
      <c r="AL96" s="2016"/>
      <c r="AM96" s="2016"/>
      <c r="AN96" s="2016"/>
      <c r="AO96" s="2016"/>
      <c r="AP96" s="2016"/>
      <c r="AQ96" s="2016"/>
      <c r="AR96" s="2016"/>
      <c r="AS96" s="2016"/>
      <c r="AT96" s="2016"/>
      <c r="AU96" s="2016"/>
      <c r="AV96" s="2016"/>
      <c r="AW96" s="2016"/>
      <c r="AX96" s="2016"/>
      <c r="AY96" s="2019" t="s">
        <v>847</v>
      </c>
      <c r="AZ96" s="2019"/>
      <c r="BA96" s="2019"/>
      <c r="BB96" s="2020"/>
      <c r="BC96" s="971"/>
      <c r="BD96" s="971"/>
      <c r="BE96" s="974"/>
      <c r="BQ96" s="968" t="str">
        <f>Application!M243&amp;IF(TRIM(Application!AA249)&lt;&gt;""," ("&amp;Application!AA249&amp;")","")</f>
        <v>PSCDC Baler LLC (Pacific Southwest Community Development Corporation)</v>
      </c>
      <c r="BR96" s="1099">
        <f>Application!AH246</f>
        <v>4.8999999999999998E-4</v>
      </c>
      <c r="CM96" s="969"/>
      <c r="CN96" s="969"/>
      <c r="CO96" s="969"/>
      <c r="CP96" s="969"/>
    </row>
    <row r="97" spans="1:94" ht="15.75" customHeight="1">
      <c r="A97" s="971"/>
      <c r="B97" s="1936"/>
      <c r="C97" s="1937"/>
      <c r="D97" s="1937"/>
      <c r="E97" s="1937"/>
      <c r="F97" s="1937"/>
      <c r="G97" s="1937"/>
      <c r="H97" s="1937"/>
      <c r="I97" s="1937" t="s">
        <v>1970</v>
      </c>
      <c r="J97" s="1937"/>
      <c r="K97" s="1937"/>
      <c r="L97" s="1937"/>
      <c r="M97" s="1937"/>
      <c r="N97" s="1937"/>
      <c r="O97" s="1937" t="s">
        <v>1971</v>
      </c>
      <c r="P97" s="1937"/>
      <c r="Q97" s="1937"/>
      <c r="R97" s="1937"/>
      <c r="S97" s="1937"/>
      <c r="T97" s="1937"/>
      <c r="U97" s="1937"/>
      <c r="V97" s="2023" t="s">
        <v>1972</v>
      </c>
      <c r="W97" s="2023"/>
      <c r="X97" s="2023"/>
      <c r="Y97" s="2023"/>
      <c r="Z97" s="2023"/>
      <c r="AA97" s="2023"/>
      <c r="AB97" s="2024" t="s">
        <v>1973</v>
      </c>
      <c r="AC97" s="2024"/>
      <c r="AD97" s="2024"/>
      <c r="AE97" s="2024"/>
      <c r="AF97" s="2024"/>
      <c r="AG97" s="2024"/>
      <c r="AH97" s="2025"/>
      <c r="AI97" s="971"/>
      <c r="AJ97" s="2017"/>
      <c r="AK97" s="2018"/>
      <c r="AL97" s="2018"/>
      <c r="AM97" s="2018"/>
      <c r="AN97" s="2018"/>
      <c r="AO97" s="2018"/>
      <c r="AP97" s="2018"/>
      <c r="AQ97" s="2018"/>
      <c r="AR97" s="2018"/>
      <c r="AS97" s="2018"/>
      <c r="AT97" s="2018"/>
      <c r="AU97" s="2018"/>
      <c r="AV97" s="2018"/>
      <c r="AW97" s="2018"/>
      <c r="AX97" s="2018"/>
      <c r="AY97" s="2021"/>
      <c r="AZ97" s="2021"/>
      <c r="BA97" s="2021"/>
      <c r="BB97" s="2022"/>
      <c r="BC97" s="971"/>
      <c r="BD97" s="971"/>
      <c r="BE97" s="974"/>
      <c r="BQ97" s="968" t="str">
        <f>Application!M251&amp;IF(TRIM(Application!AA257)&lt;&gt;""," ("&amp;Application!AA257&amp;")","")</f>
        <v>CRP Baler Place AGP LLC</v>
      </c>
      <c r="BR97" s="1099">
        <f>Application!AH254</f>
        <v>5.1000000000000004E-4</v>
      </c>
      <c r="CM97" s="969"/>
      <c r="CN97" s="969"/>
      <c r="CO97" s="969"/>
      <c r="CP97" s="969"/>
    </row>
    <row r="98" spans="1:94" ht="15.75" customHeight="1">
      <c r="A98" s="971"/>
      <c r="B98" s="1936"/>
      <c r="C98" s="1937"/>
      <c r="D98" s="1937"/>
      <c r="E98" s="1937"/>
      <c r="F98" s="1937"/>
      <c r="G98" s="1937"/>
      <c r="H98" s="1937"/>
      <c r="I98" s="1937"/>
      <c r="J98" s="1937"/>
      <c r="K98" s="1937"/>
      <c r="L98" s="1937"/>
      <c r="M98" s="1937"/>
      <c r="N98" s="1937"/>
      <c r="O98" s="1937"/>
      <c r="P98" s="1937"/>
      <c r="Q98" s="1937"/>
      <c r="R98" s="1937"/>
      <c r="S98" s="1937"/>
      <c r="T98" s="1937"/>
      <c r="U98" s="1937"/>
      <c r="V98" s="2023"/>
      <c r="W98" s="2023"/>
      <c r="X98" s="2023"/>
      <c r="Y98" s="2023"/>
      <c r="Z98" s="2023"/>
      <c r="AA98" s="2023"/>
      <c r="AB98" s="2024"/>
      <c r="AC98" s="2024"/>
      <c r="AD98" s="2024"/>
      <c r="AE98" s="2024"/>
      <c r="AF98" s="2024"/>
      <c r="AG98" s="2024"/>
      <c r="AH98" s="2025"/>
      <c r="AI98" s="971"/>
      <c r="AJ98" s="2017"/>
      <c r="AK98" s="2018"/>
      <c r="AL98" s="2018"/>
      <c r="AM98" s="2018"/>
      <c r="AN98" s="2018"/>
      <c r="AO98" s="2018"/>
      <c r="AP98" s="2018"/>
      <c r="AQ98" s="2018"/>
      <c r="AR98" s="2018"/>
      <c r="AS98" s="2018"/>
      <c r="AT98" s="2018"/>
      <c r="AU98" s="2018"/>
      <c r="AV98" s="2018"/>
      <c r="AW98" s="2018"/>
      <c r="AX98" s="2018"/>
      <c r="AY98" s="2021"/>
      <c r="AZ98" s="2021"/>
      <c r="BA98" s="2021"/>
      <c r="BB98" s="2022"/>
      <c r="BC98" s="971"/>
      <c r="BD98" s="971"/>
      <c r="BE98" s="974"/>
      <c r="BQ98" s="968" t="str">
        <f>Application!M259&amp;IF(TRIM(Application!AA265)&lt;&gt;""," ("&amp;Application!AA265&amp;")","")</f>
        <v/>
      </c>
      <c r="BR98" s="1099">
        <f>Application!AH262</f>
        <v>0</v>
      </c>
      <c r="CM98" s="969"/>
      <c r="CN98" s="969"/>
      <c r="CO98" s="969"/>
      <c r="CP98" s="969"/>
    </row>
    <row r="99" spans="1:94" ht="15.75" customHeight="1">
      <c r="A99" s="971"/>
      <c r="B99" s="1936" t="s">
        <v>1974</v>
      </c>
      <c r="C99" s="1937"/>
      <c r="D99" s="1937"/>
      <c r="E99" s="1937"/>
      <c r="F99" s="1937"/>
      <c r="G99" s="1937"/>
      <c r="H99" s="1937"/>
      <c r="I99" s="2013">
        <v>0</v>
      </c>
      <c r="J99" s="2013"/>
      <c r="K99" s="2013"/>
      <c r="L99" s="2013"/>
      <c r="M99" s="2013"/>
      <c r="N99" s="2013"/>
      <c r="O99" s="2013">
        <v>0</v>
      </c>
      <c r="P99" s="2013"/>
      <c r="Q99" s="2013"/>
      <c r="R99" s="2013"/>
      <c r="S99" s="2013"/>
      <c r="T99" s="2013"/>
      <c r="U99" s="2013"/>
      <c r="V99" s="2013">
        <v>0</v>
      </c>
      <c r="W99" s="2013"/>
      <c r="X99" s="2013"/>
      <c r="Y99" s="2013"/>
      <c r="Z99" s="2013"/>
      <c r="AA99" s="2013"/>
      <c r="AB99" s="2013">
        <v>0</v>
      </c>
      <c r="AC99" s="2013"/>
      <c r="AD99" s="2013"/>
      <c r="AE99" s="2013"/>
      <c r="AF99" s="2013"/>
      <c r="AG99" s="2013"/>
      <c r="AH99" s="2014"/>
      <c r="AI99" s="971"/>
      <c r="AJ99" s="2017"/>
      <c r="AK99" s="2018"/>
      <c r="AL99" s="2018"/>
      <c r="AM99" s="2018"/>
      <c r="AN99" s="2018"/>
      <c r="AO99" s="2018"/>
      <c r="AP99" s="2018"/>
      <c r="AQ99" s="2018"/>
      <c r="AR99" s="2018"/>
      <c r="AS99" s="2018"/>
      <c r="AT99" s="2018"/>
      <c r="AU99" s="2018"/>
      <c r="AV99" s="2018"/>
      <c r="AW99" s="2018"/>
      <c r="AX99" s="2018"/>
      <c r="AY99" s="2021"/>
      <c r="AZ99" s="2021"/>
      <c r="BA99" s="2021"/>
      <c r="BB99" s="2022"/>
      <c r="BC99" s="971"/>
      <c r="BD99" s="971"/>
      <c r="BE99" s="974"/>
      <c r="CM99" s="969"/>
      <c r="CN99" s="969"/>
      <c r="CO99" s="969"/>
      <c r="CP99" s="969"/>
    </row>
    <row r="100" spans="1:94" ht="15.75" customHeight="1">
      <c r="A100" s="971"/>
      <c r="B100" s="1936" t="s">
        <v>1975</v>
      </c>
      <c r="C100" s="1937"/>
      <c r="D100" s="1937"/>
      <c r="E100" s="1937"/>
      <c r="F100" s="1937"/>
      <c r="G100" s="1937"/>
      <c r="H100" s="1937"/>
      <c r="I100" s="2013">
        <v>0</v>
      </c>
      <c r="J100" s="2013"/>
      <c r="K100" s="2013"/>
      <c r="L100" s="2013"/>
      <c r="M100" s="2013"/>
      <c r="N100" s="2013"/>
      <c r="O100" s="2013">
        <v>0</v>
      </c>
      <c r="P100" s="2013"/>
      <c r="Q100" s="2013"/>
      <c r="R100" s="2013"/>
      <c r="S100" s="2013"/>
      <c r="T100" s="2013"/>
      <c r="U100" s="2013"/>
      <c r="V100" s="2013">
        <v>0</v>
      </c>
      <c r="W100" s="2013"/>
      <c r="X100" s="2013"/>
      <c r="Y100" s="2013"/>
      <c r="Z100" s="2013"/>
      <c r="AA100" s="2013"/>
      <c r="AB100" s="2013">
        <v>0</v>
      </c>
      <c r="AC100" s="2013"/>
      <c r="AD100" s="2013"/>
      <c r="AE100" s="2013"/>
      <c r="AF100" s="2013"/>
      <c r="AG100" s="2013"/>
      <c r="AH100" s="2014"/>
      <c r="AI100" s="971"/>
      <c r="AJ100" s="2002" t="s">
        <v>1976</v>
      </c>
      <c r="AK100" s="2003"/>
      <c r="AL100" s="2003"/>
      <c r="AM100" s="2003"/>
      <c r="AN100" s="2003"/>
      <c r="AO100" s="2003"/>
      <c r="AP100" s="2003"/>
      <c r="AQ100" s="2003"/>
      <c r="AR100" s="2003"/>
      <c r="AS100" s="2003"/>
      <c r="AT100" s="2003"/>
      <c r="AU100" s="2003"/>
      <c r="AV100" s="2003"/>
      <c r="AW100" s="2003"/>
      <c r="AX100" s="2003"/>
      <c r="AY100" s="2003"/>
      <c r="AZ100" s="2003"/>
      <c r="BA100" s="2003"/>
      <c r="BB100" s="2004"/>
      <c r="BC100" s="971"/>
      <c r="BD100" s="971"/>
      <c r="BE100" s="974"/>
      <c r="CM100" s="969"/>
      <c r="CN100" s="969"/>
      <c r="CO100" s="969"/>
      <c r="CP100" s="969"/>
    </row>
    <row r="101" spans="1:94" ht="15.75" customHeight="1" thickBot="1">
      <c r="A101" s="971"/>
      <c r="B101" s="1954" t="s">
        <v>1977</v>
      </c>
      <c r="C101" s="1955"/>
      <c r="D101" s="1955"/>
      <c r="E101" s="1955"/>
      <c r="F101" s="1955"/>
      <c r="G101" s="1955"/>
      <c r="H101" s="1955"/>
      <c r="I101" s="2028">
        <v>0</v>
      </c>
      <c r="J101" s="2028"/>
      <c r="K101" s="2028"/>
      <c r="L101" s="2028"/>
      <c r="M101" s="2028"/>
      <c r="N101" s="2028"/>
      <c r="O101" s="2028">
        <v>0</v>
      </c>
      <c r="P101" s="2028"/>
      <c r="Q101" s="2028"/>
      <c r="R101" s="2028"/>
      <c r="S101" s="2028"/>
      <c r="T101" s="2028"/>
      <c r="U101" s="2028"/>
      <c r="V101" s="2028">
        <v>0</v>
      </c>
      <c r="W101" s="2028"/>
      <c r="X101" s="2028"/>
      <c r="Y101" s="2028"/>
      <c r="Z101" s="2028"/>
      <c r="AA101" s="2028"/>
      <c r="AB101" s="2028">
        <v>0</v>
      </c>
      <c r="AC101" s="2028"/>
      <c r="AD101" s="2028"/>
      <c r="AE101" s="2028"/>
      <c r="AF101" s="2028"/>
      <c r="AG101" s="2028"/>
      <c r="AH101" s="2029"/>
      <c r="AI101" s="971"/>
      <c r="AJ101" s="2005"/>
      <c r="AK101" s="2006"/>
      <c r="AL101" s="2006"/>
      <c r="AM101" s="2006"/>
      <c r="AN101" s="2006"/>
      <c r="AO101" s="2006"/>
      <c r="AP101" s="2006"/>
      <c r="AQ101" s="2006"/>
      <c r="AR101" s="2006"/>
      <c r="AS101" s="2006"/>
      <c r="AT101" s="2006"/>
      <c r="AU101" s="2006"/>
      <c r="AV101" s="2006"/>
      <c r="AW101" s="2006"/>
      <c r="AX101" s="2006"/>
      <c r="AY101" s="2006"/>
      <c r="AZ101" s="2006"/>
      <c r="BA101" s="2006"/>
      <c r="BB101" s="2007"/>
      <c r="BC101" s="971"/>
      <c r="BD101" s="971"/>
      <c r="BE101" s="974"/>
      <c r="CM101" s="969"/>
      <c r="CN101" s="969"/>
      <c r="CO101" s="969"/>
      <c r="CP101" s="969"/>
    </row>
    <row r="102" spans="1:94" ht="15.75" customHeight="1" thickBot="1">
      <c r="A102" s="971"/>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c r="AU102" s="971"/>
      <c r="AV102" s="971"/>
      <c r="AW102" s="971"/>
      <c r="AX102" s="971"/>
      <c r="AY102" s="971"/>
      <c r="AZ102" s="971"/>
      <c r="BA102" s="971"/>
      <c r="BB102" s="971"/>
      <c r="BC102" s="971"/>
      <c r="BD102" s="971"/>
      <c r="BE102" s="974"/>
      <c r="CM102" s="969"/>
      <c r="CN102" s="969"/>
      <c r="CO102" s="969"/>
      <c r="CP102" s="969"/>
    </row>
    <row r="103" spans="1:94" ht="15.75" customHeight="1" thickBot="1">
      <c r="A103" s="971"/>
      <c r="B103" s="989" t="s">
        <v>1983</v>
      </c>
      <c r="C103" s="983"/>
      <c r="D103" s="984"/>
      <c r="E103" s="984"/>
      <c r="F103" s="995"/>
      <c r="G103" s="995"/>
      <c r="H103" s="995"/>
      <c r="I103" s="995"/>
      <c r="J103" s="995"/>
      <c r="K103" s="995"/>
      <c r="L103" s="995"/>
      <c r="M103" s="995"/>
      <c r="N103" s="995"/>
      <c r="O103" s="996"/>
      <c r="P103" s="995"/>
      <c r="Q103" s="995"/>
      <c r="R103" s="996"/>
      <c r="S103" s="971" t="s">
        <v>254</v>
      </c>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c r="AU103" s="971"/>
      <c r="AV103" s="971"/>
      <c r="AW103" s="971"/>
      <c r="AX103" s="971"/>
      <c r="AY103" s="971"/>
      <c r="AZ103" s="971"/>
      <c r="BA103" s="971"/>
      <c r="BB103" s="971"/>
      <c r="BC103" s="971"/>
      <c r="BD103" s="971"/>
      <c r="BE103" s="974"/>
      <c r="CM103" s="969"/>
      <c r="CN103" s="969"/>
      <c r="CO103" s="969"/>
      <c r="CP103" s="969"/>
    </row>
    <row r="104" spans="1:94" ht="15.75" customHeight="1">
      <c r="A104" s="971"/>
      <c r="B104" s="992" t="s">
        <v>1964</v>
      </c>
      <c r="C104" s="992"/>
      <c r="D104" s="997"/>
      <c r="E104" s="998"/>
      <c r="F104" s="2030"/>
      <c r="G104" s="2031"/>
      <c r="H104" s="2031"/>
      <c r="I104" s="2031"/>
      <c r="J104" s="2031"/>
      <c r="K104" s="2031"/>
      <c r="L104" s="2031"/>
      <c r="M104" s="2031"/>
      <c r="N104" s="2031"/>
      <c r="O104" s="2031"/>
      <c r="P104" s="2031"/>
      <c r="Q104" s="2031"/>
      <c r="R104" s="2032"/>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c r="AU104" s="971"/>
      <c r="AV104" s="971"/>
      <c r="AW104" s="971"/>
      <c r="AX104" s="971"/>
      <c r="AY104" s="971"/>
      <c r="AZ104" s="971"/>
      <c r="BA104" s="971"/>
      <c r="BB104" s="971"/>
      <c r="BC104" s="971"/>
      <c r="BD104" s="971"/>
      <c r="BE104" s="974"/>
      <c r="CM104" s="969"/>
      <c r="CN104" s="969"/>
      <c r="CO104" s="969"/>
      <c r="CP104" s="969"/>
    </row>
    <row r="105" spans="1:94" ht="15.75" customHeight="1" thickBot="1">
      <c r="A105" s="971"/>
      <c r="B105" s="999" t="s">
        <v>1984</v>
      </c>
      <c r="C105" s="1000"/>
      <c r="D105" s="1001"/>
      <c r="E105" s="1001"/>
      <c r="F105" s="1001"/>
      <c r="G105" s="1001"/>
      <c r="H105" s="1001"/>
      <c r="I105" s="1001"/>
      <c r="J105" s="1001"/>
      <c r="K105" s="1001"/>
      <c r="L105" s="1002"/>
      <c r="M105" s="1001"/>
      <c r="N105" s="1002"/>
      <c r="O105" s="1994" t="str">
        <f>IFERROR(INDEX(BR96:BR98,MATCH(F104,$BQ$96:$BQ$98,0))/SUM($BR$96:$BR$98),"")</f>
        <v/>
      </c>
      <c r="P105" s="1995"/>
      <c r="Q105" s="1995"/>
      <c r="R105" s="1996"/>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c r="AU105" s="971"/>
      <c r="AV105" s="971"/>
      <c r="AW105" s="971"/>
      <c r="AX105" s="971"/>
      <c r="AY105" s="971"/>
      <c r="AZ105" s="971"/>
      <c r="BA105" s="971"/>
      <c r="BB105" s="971"/>
      <c r="BC105" s="971"/>
      <c r="BD105" s="971"/>
      <c r="BE105" s="974"/>
      <c r="CM105" s="969"/>
      <c r="CN105" s="969"/>
      <c r="CO105" s="969"/>
      <c r="CP105" s="969"/>
    </row>
    <row r="106" spans="1:94" ht="15.75" customHeight="1" thickBot="1">
      <c r="A106" s="971"/>
      <c r="B106" s="971"/>
      <c r="C106" s="971"/>
      <c r="D106" s="971"/>
      <c r="E106" s="971"/>
      <c r="F106" s="971"/>
      <c r="G106" s="971"/>
      <c r="H106" s="971"/>
      <c r="I106" s="971"/>
      <c r="J106" s="971"/>
      <c r="K106" s="971"/>
      <c r="L106" s="971"/>
      <c r="M106" s="971"/>
      <c r="N106" s="971"/>
      <c r="O106" s="971"/>
      <c r="P106" s="1003"/>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c r="AL106" s="971"/>
      <c r="AM106" s="971"/>
      <c r="AN106" s="971"/>
      <c r="AO106" s="971"/>
      <c r="AP106" s="971"/>
      <c r="AQ106" s="971"/>
      <c r="AR106" s="971"/>
      <c r="AS106" s="971"/>
      <c r="AT106" s="971"/>
      <c r="AU106" s="971"/>
      <c r="AV106" s="971"/>
      <c r="AW106" s="971"/>
      <c r="AX106" s="971"/>
      <c r="AY106" s="971"/>
      <c r="AZ106" s="971"/>
      <c r="BA106" s="971"/>
      <c r="BB106" s="971"/>
      <c r="BC106" s="971"/>
      <c r="BD106" s="971"/>
      <c r="BE106" s="974"/>
      <c r="CM106" s="969"/>
      <c r="CN106" s="969"/>
      <c r="CO106" s="969"/>
      <c r="CP106" s="969"/>
    </row>
    <row r="107" spans="1:94" ht="15.75" customHeight="1">
      <c r="A107" s="971"/>
      <c r="B107" s="1982" t="s">
        <v>1985</v>
      </c>
      <c r="C107" s="1983"/>
      <c r="D107" s="1983"/>
      <c r="E107" s="1983"/>
      <c r="F107" s="1983"/>
      <c r="G107" s="1983"/>
      <c r="H107" s="1983"/>
      <c r="I107" s="1983"/>
      <c r="J107" s="1983"/>
      <c r="K107" s="1983"/>
      <c r="L107" s="1983"/>
      <c r="M107" s="1983"/>
      <c r="N107" s="1983"/>
      <c r="O107" s="1983"/>
      <c r="P107" s="1983"/>
      <c r="Q107" s="1983"/>
      <c r="R107" s="1983"/>
      <c r="S107" s="1983"/>
      <c r="T107" s="1983"/>
      <c r="U107" s="1983"/>
      <c r="V107" s="1983"/>
      <c r="W107" s="1983"/>
      <c r="X107" s="1983"/>
      <c r="Y107" s="1983"/>
      <c r="Z107" s="1983"/>
      <c r="AA107" s="1983"/>
      <c r="AB107" s="1983"/>
      <c r="AC107" s="1983"/>
      <c r="AD107" s="1983"/>
      <c r="AE107" s="1983"/>
      <c r="AF107" s="1983"/>
      <c r="AG107" s="1983"/>
      <c r="AH107" s="2033"/>
      <c r="AI107" s="971"/>
      <c r="AJ107" s="971"/>
      <c r="AK107" s="971"/>
      <c r="AL107" s="971"/>
      <c r="AM107" s="971"/>
      <c r="AN107" s="971"/>
      <c r="AO107" s="971"/>
      <c r="AP107" s="971"/>
      <c r="AQ107" s="971"/>
      <c r="AR107" s="971"/>
      <c r="AS107" s="971"/>
      <c r="AT107" s="971"/>
      <c r="AU107" s="971"/>
      <c r="AV107" s="971"/>
      <c r="AW107" s="971"/>
      <c r="AX107" s="971"/>
      <c r="AY107" s="971"/>
      <c r="AZ107" s="971"/>
      <c r="BA107" s="971"/>
      <c r="BB107" s="971"/>
      <c r="BC107" s="971"/>
      <c r="BD107" s="971"/>
      <c r="BE107" s="974"/>
      <c r="CM107" s="969"/>
      <c r="CN107" s="969"/>
      <c r="CO107" s="969"/>
      <c r="CP107" s="969"/>
    </row>
    <row r="108" spans="1:94" ht="16.5" customHeight="1">
      <c r="A108" s="971"/>
      <c r="B108" s="1936"/>
      <c r="C108" s="1937"/>
      <c r="D108" s="1937"/>
      <c r="E108" s="1937"/>
      <c r="F108" s="1937"/>
      <c r="G108" s="1937"/>
      <c r="H108" s="1937"/>
      <c r="I108" s="1937" t="s">
        <v>1970</v>
      </c>
      <c r="J108" s="1937"/>
      <c r="K108" s="1937"/>
      <c r="L108" s="1937"/>
      <c r="M108" s="1937"/>
      <c r="N108" s="1937"/>
      <c r="O108" s="1937" t="s">
        <v>1971</v>
      </c>
      <c r="P108" s="1937"/>
      <c r="Q108" s="1937"/>
      <c r="R108" s="1937"/>
      <c r="S108" s="1937"/>
      <c r="T108" s="1937"/>
      <c r="U108" s="1937"/>
      <c r="V108" s="2023" t="s">
        <v>1972</v>
      </c>
      <c r="W108" s="2023"/>
      <c r="X108" s="2023"/>
      <c r="Y108" s="2023"/>
      <c r="Z108" s="2023"/>
      <c r="AA108" s="2023"/>
      <c r="AB108" s="2024" t="s">
        <v>1973</v>
      </c>
      <c r="AC108" s="2024"/>
      <c r="AD108" s="2024"/>
      <c r="AE108" s="2024"/>
      <c r="AF108" s="2024"/>
      <c r="AG108" s="2024"/>
      <c r="AH108" s="2025"/>
      <c r="AI108" s="971"/>
      <c r="AJ108" s="971"/>
      <c r="AK108" s="971"/>
      <c r="AL108" s="971"/>
      <c r="AM108" s="971"/>
      <c r="AN108" s="971"/>
      <c r="AO108" s="971"/>
      <c r="AP108" s="971"/>
      <c r="AQ108" s="971"/>
      <c r="AR108" s="971"/>
      <c r="AS108" s="971"/>
      <c r="AT108" s="971"/>
      <c r="AU108" s="971"/>
      <c r="AV108" s="971"/>
      <c r="AW108" s="971"/>
      <c r="AX108" s="971"/>
      <c r="AY108" s="971"/>
      <c r="AZ108" s="971"/>
      <c r="BA108" s="971"/>
      <c r="BB108" s="971"/>
      <c r="BC108" s="971"/>
      <c r="BD108" s="971"/>
      <c r="BE108" s="974"/>
      <c r="CM108" s="969"/>
      <c r="CN108" s="969"/>
      <c r="CO108" s="969"/>
      <c r="CP108" s="969"/>
    </row>
    <row r="109" spans="1:94" ht="16.5" customHeight="1">
      <c r="A109" s="971"/>
      <c r="B109" s="1936"/>
      <c r="C109" s="1937"/>
      <c r="D109" s="1937"/>
      <c r="E109" s="1937"/>
      <c r="F109" s="1937"/>
      <c r="G109" s="1937"/>
      <c r="H109" s="1937"/>
      <c r="I109" s="1937"/>
      <c r="J109" s="1937"/>
      <c r="K109" s="1937"/>
      <c r="L109" s="1937"/>
      <c r="M109" s="1937"/>
      <c r="N109" s="1937"/>
      <c r="O109" s="1937"/>
      <c r="P109" s="1937"/>
      <c r="Q109" s="1937"/>
      <c r="R109" s="1937"/>
      <c r="S109" s="1937"/>
      <c r="T109" s="1937"/>
      <c r="U109" s="1937"/>
      <c r="V109" s="2023"/>
      <c r="W109" s="2023"/>
      <c r="X109" s="2023"/>
      <c r="Y109" s="2023"/>
      <c r="Z109" s="2023"/>
      <c r="AA109" s="2023"/>
      <c r="AB109" s="2024"/>
      <c r="AC109" s="2024"/>
      <c r="AD109" s="2024"/>
      <c r="AE109" s="2024"/>
      <c r="AF109" s="2024"/>
      <c r="AG109" s="2024"/>
      <c r="AH109" s="2025"/>
      <c r="AI109" s="971"/>
      <c r="AJ109" s="971"/>
      <c r="AK109" s="971"/>
      <c r="AL109" s="971"/>
      <c r="AM109" s="971"/>
      <c r="AN109" s="971"/>
      <c r="AO109" s="971"/>
      <c r="AP109" s="971"/>
      <c r="AQ109" s="971"/>
      <c r="AR109" s="971"/>
      <c r="AS109" s="971"/>
      <c r="AT109" s="971"/>
      <c r="AU109" s="971"/>
      <c r="AV109" s="971"/>
      <c r="AW109" s="971"/>
      <c r="AX109" s="971"/>
      <c r="AY109" s="971"/>
      <c r="AZ109" s="971"/>
      <c r="BA109" s="971"/>
      <c r="BB109" s="971"/>
      <c r="BC109" s="971"/>
      <c r="BD109" s="971"/>
      <c r="BE109" s="974"/>
      <c r="CM109" s="969"/>
      <c r="CN109" s="969"/>
      <c r="CO109" s="969"/>
      <c r="CP109" s="969"/>
    </row>
    <row r="110" spans="1:94" ht="15.75" customHeight="1">
      <c r="A110" s="971"/>
      <c r="B110" s="1936" t="s">
        <v>1974</v>
      </c>
      <c r="C110" s="1937"/>
      <c r="D110" s="1937"/>
      <c r="E110" s="1937"/>
      <c r="F110" s="1937"/>
      <c r="G110" s="1937"/>
      <c r="H110" s="1937"/>
      <c r="I110" s="2013">
        <v>0</v>
      </c>
      <c r="J110" s="2013"/>
      <c r="K110" s="2013"/>
      <c r="L110" s="2013"/>
      <c r="M110" s="2013"/>
      <c r="N110" s="2013"/>
      <c r="O110" s="2013">
        <v>0</v>
      </c>
      <c r="P110" s="2013"/>
      <c r="Q110" s="2013"/>
      <c r="R110" s="2013"/>
      <c r="S110" s="2013"/>
      <c r="T110" s="2013"/>
      <c r="U110" s="2013"/>
      <c r="V110" s="2013">
        <v>0</v>
      </c>
      <c r="W110" s="2013"/>
      <c r="X110" s="2013"/>
      <c r="Y110" s="2013"/>
      <c r="Z110" s="2013"/>
      <c r="AA110" s="2013"/>
      <c r="AB110" s="2013">
        <v>0</v>
      </c>
      <c r="AC110" s="2013"/>
      <c r="AD110" s="2013"/>
      <c r="AE110" s="2013"/>
      <c r="AF110" s="2013"/>
      <c r="AG110" s="2013"/>
      <c r="AH110" s="2014"/>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4"/>
      <c r="CM110" s="969"/>
      <c r="CN110" s="969"/>
      <c r="CO110" s="969"/>
      <c r="CP110" s="969"/>
    </row>
    <row r="111" spans="1:94" ht="15.75" customHeight="1">
      <c r="A111" s="971"/>
      <c r="B111" s="1936" t="s">
        <v>1975</v>
      </c>
      <c r="C111" s="1937"/>
      <c r="D111" s="1937"/>
      <c r="E111" s="1937"/>
      <c r="F111" s="1937"/>
      <c r="G111" s="1937"/>
      <c r="H111" s="1937"/>
      <c r="I111" s="2013">
        <v>0</v>
      </c>
      <c r="J111" s="2013"/>
      <c r="K111" s="2013"/>
      <c r="L111" s="2013"/>
      <c r="M111" s="2013"/>
      <c r="N111" s="2013"/>
      <c r="O111" s="2013">
        <v>0</v>
      </c>
      <c r="P111" s="2013"/>
      <c r="Q111" s="2013"/>
      <c r="R111" s="2013"/>
      <c r="S111" s="2013"/>
      <c r="T111" s="2013"/>
      <c r="U111" s="2013"/>
      <c r="V111" s="2013">
        <v>0</v>
      </c>
      <c r="W111" s="2013"/>
      <c r="X111" s="2013"/>
      <c r="Y111" s="2013"/>
      <c r="Z111" s="2013"/>
      <c r="AA111" s="2013"/>
      <c r="AB111" s="2013">
        <v>0</v>
      </c>
      <c r="AC111" s="2013"/>
      <c r="AD111" s="2013"/>
      <c r="AE111" s="2013"/>
      <c r="AF111" s="2013"/>
      <c r="AG111" s="2013"/>
      <c r="AH111" s="2014"/>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4"/>
      <c r="CM111" s="969"/>
      <c r="CN111" s="969"/>
      <c r="CO111" s="969"/>
      <c r="CP111" s="969"/>
    </row>
    <row r="112" spans="1:94" ht="15.75" customHeight="1" thickBot="1">
      <c r="A112" s="971"/>
      <c r="B112" s="1954" t="s">
        <v>1977</v>
      </c>
      <c r="C112" s="1955"/>
      <c r="D112" s="1955"/>
      <c r="E112" s="1955"/>
      <c r="F112" s="1955"/>
      <c r="G112" s="1955"/>
      <c r="H112" s="1955"/>
      <c r="I112" s="2028">
        <v>0</v>
      </c>
      <c r="J112" s="2028"/>
      <c r="K112" s="2028"/>
      <c r="L112" s="2028"/>
      <c r="M112" s="2028"/>
      <c r="N112" s="2028"/>
      <c r="O112" s="2028">
        <v>0</v>
      </c>
      <c r="P112" s="2028"/>
      <c r="Q112" s="2028"/>
      <c r="R112" s="2028"/>
      <c r="S112" s="2028"/>
      <c r="T112" s="2028"/>
      <c r="U112" s="2028"/>
      <c r="V112" s="2028">
        <v>0</v>
      </c>
      <c r="W112" s="2028"/>
      <c r="X112" s="2028"/>
      <c r="Y112" s="2028"/>
      <c r="Z112" s="2028"/>
      <c r="AA112" s="2028"/>
      <c r="AB112" s="2028">
        <v>0</v>
      </c>
      <c r="AC112" s="2028"/>
      <c r="AD112" s="2028"/>
      <c r="AE112" s="2028"/>
      <c r="AF112" s="2028"/>
      <c r="AG112" s="2028"/>
      <c r="AH112" s="2029"/>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4"/>
      <c r="CM112" s="969"/>
      <c r="CN112" s="969"/>
      <c r="CO112" s="969"/>
      <c r="CP112" s="969"/>
    </row>
    <row r="113" spans="1:57" ht="15.75" customHeight="1" thickBot="1">
      <c r="A113" s="971"/>
      <c r="B113" s="971"/>
      <c r="C113" s="971"/>
      <c r="D113" s="971"/>
      <c r="E113" s="971"/>
      <c r="F113" s="971"/>
      <c r="G113" s="971"/>
      <c r="H113" s="971"/>
      <c r="I113" s="971"/>
      <c r="J113" s="971"/>
      <c r="K113" s="971"/>
      <c r="L113" s="971"/>
      <c r="M113" s="971"/>
      <c r="N113" s="971"/>
      <c r="O113" s="971"/>
      <c r="P113" s="971"/>
      <c r="Q113" s="971"/>
      <c r="R113" s="971"/>
      <c r="S113" s="971"/>
      <c r="T113" s="971"/>
      <c r="U113" s="971" t="s">
        <v>254</v>
      </c>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4"/>
    </row>
    <row r="114" spans="1:57" ht="15.75" customHeight="1" thickBot="1">
      <c r="A114" s="971"/>
      <c r="B114" s="982" t="s">
        <v>1986</v>
      </c>
      <c r="C114" s="988"/>
      <c r="D114" s="988"/>
      <c r="E114" s="988"/>
      <c r="F114" s="988"/>
      <c r="G114" s="988"/>
      <c r="H114" s="988"/>
      <c r="I114" s="988"/>
      <c r="J114" s="988"/>
      <c r="K114" s="988"/>
      <c r="L114" s="988"/>
      <c r="M114" s="988"/>
      <c r="N114" s="988"/>
      <c r="O114" s="988"/>
      <c r="P114" s="988"/>
      <c r="Q114" s="988"/>
      <c r="R114" s="1004"/>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4"/>
    </row>
    <row r="115" spans="1:57" ht="15.75" customHeight="1">
      <c r="A115" s="971"/>
      <c r="B115" s="992" t="s">
        <v>1964</v>
      </c>
      <c r="C115" s="992"/>
      <c r="D115" s="997"/>
      <c r="E115" s="998"/>
      <c r="F115" s="2034"/>
      <c r="G115" s="2035"/>
      <c r="H115" s="2035"/>
      <c r="I115" s="2035"/>
      <c r="J115" s="2035"/>
      <c r="K115" s="2035"/>
      <c r="L115" s="2035"/>
      <c r="M115" s="2035"/>
      <c r="N115" s="2035"/>
      <c r="O115" s="2035"/>
      <c r="P115" s="2035"/>
      <c r="Q115" s="2035"/>
      <c r="R115" s="2036"/>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4"/>
    </row>
    <row r="116" spans="1:57" ht="15.75" customHeight="1" thickBot="1">
      <c r="A116" s="971"/>
      <c r="B116" s="971"/>
      <c r="C116" s="971"/>
      <c r="D116" s="971"/>
      <c r="E116" s="971"/>
      <c r="F116" s="971"/>
      <c r="G116" s="971"/>
      <c r="H116" s="971"/>
      <c r="I116" s="971"/>
      <c r="J116" s="971"/>
      <c r="K116" s="971"/>
      <c r="L116" s="971"/>
      <c r="M116" s="971"/>
      <c r="N116" s="971"/>
      <c r="O116" s="971"/>
      <c r="P116" s="971"/>
      <c r="Q116" s="971"/>
      <c r="R116" s="971"/>
      <c r="S116" s="971"/>
      <c r="T116" s="971"/>
      <c r="U116" s="971"/>
      <c r="V116" s="971"/>
      <c r="W116" s="971"/>
      <c r="X116" s="971"/>
      <c r="Y116" s="971"/>
      <c r="Z116" s="971"/>
      <c r="AA116" s="971"/>
      <c r="AB116" s="971"/>
      <c r="AC116" s="971"/>
      <c r="AD116" s="971"/>
      <c r="AE116" s="971"/>
      <c r="AF116" s="971"/>
      <c r="AG116" s="971"/>
      <c r="AH116" s="971"/>
      <c r="AI116" s="971"/>
      <c r="AJ116" s="971"/>
      <c r="AK116" s="971"/>
      <c r="AL116" s="971"/>
      <c r="AM116" s="971"/>
      <c r="AN116" s="971"/>
      <c r="AO116" s="971"/>
      <c r="AP116" s="971"/>
      <c r="AQ116" s="971"/>
      <c r="AR116" s="971"/>
      <c r="AS116" s="971"/>
      <c r="AT116" s="971"/>
      <c r="AU116" s="971"/>
      <c r="AV116" s="971"/>
      <c r="AW116" s="971"/>
      <c r="AX116" s="971"/>
      <c r="AY116" s="971"/>
      <c r="AZ116" s="971"/>
      <c r="BA116" s="971"/>
      <c r="BB116" s="971"/>
      <c r="BC116" s="971"/>
      <c r="BD116" s="971"/>
      <c r="BE116" s="974"/>
    </row>
    <row r="117" spans="1:57" ht="15.75" customHeight="1">
      <c r="A117" s="971"/>
      <c r="B117" s="2045" t="s">
        <v>1987</v>
      </c>
      <c r="C117" s="2046"/>
      <c r="D117" s="2046"/>
      <c r="E117" s="2046"/>
      <c r="F117" s="2046"/>
      <c r="G117" s="2046"/>
      <c r="H117" s="2046"/>
      <c r="I117" s="2046"/>
      <c r="J117" s="2046"/>
      <c r="K117" s="2046"/>
      <c r="L117" s="2046"/>
      <c r="M117" s="2046"/>
      <c r="N117" s="2046"/>
      <c r="O117" s="2046"/>
      <c r="P117" s="2046"/>
      <c r="Q117" s="2046"/>
      <c r="R117" s="2046"/>
      <c r="S117" s="2046"/>
      <c r="T117" s="2046"/>
      <c r="U117" s="2049" t="s">
        <v>847</v>
      </c>
      <c r="V117" s="2049"/>
      <c r="W117" s="2049"/>
      <c r="X117" s="2050"/>
      <c r="Y117" s="971"/>
      <c r="Z117" s="971"/>
      <c r="AA117" s="971"/>
      <c r="AB117" s="971"/>
      <c r="AC117" s="971"/>
      <c r="AD117" s="971"/>
      <c r="AE117" s="971"/>
      <c r="AF117" s="971"/>
      <c r="AG117" s="971"/>
      <c r="AH117" s="971"/>
      <c r="AI117" s="971"/>
      <c r="AJ117" s="971"/>
      <c r="AK117" s="971"/>
      <c r="AL117" s="971"/>
      <c r="AM117" s="971"/>
      <c r="AN117" s="971"/>
      <c r="AO117" s="971"/>
      <c r="AP117" s="971"/>
      <c r="AQ117" s="971"/>
      <c r="AR117" s="971"/>
      <c r="AS117" s="971"/>
      <c r="AT117" s="971"/>
      <c r="AU117" s="971"/>
      <c r="AV117" s="971"/>
      <c r="AW117" s="971"/>
      <c r="AX117" s="971"/>
      <c r="AY117" s="971"/>
      <c r="AZ117" s="971"/>
      <c r="BA117" s="971"/>
      <c r="BB117" s="971"/>
      <c r="BC117" s="971"/>
      <c r="BD117" s="971"/>
      <c r="BE117" s="974"/>
    </row>
    <row r="118" spans="1:57" ht="15.75" customHeight="1">
      <c r="A118" s="971"/>
      <c r="B118" s="2047"/>
      <c r="C118" s="2048"/>
      <c r="D118" s="2048"/>
      <c r="E118" s="2048"/>
      <c r="F118" s="2048"/>
      <c r="G118" s="2048"/>
      <c r="H118" s="2048"/>
      <c r="I118" s="2048"/>
      <c r="J118" s="2048"/>
      <c r="K118" s="2048"/>
      <c r="L118" s="2048"/>
      <c r="M118" s="2048"/>
      <c r="N118" s="2048"/>
      <c r="O118" s="2048"/>
      <c r="P118" s="2048"/>
      <c r="Q118" s="2048"/>
      <c r="R118" s="2048"/>
      <c r="S118" s="2048"/>
      <c r="T118" s="2048"/>
      <c r="U118" s="2051"/>
      <c r="V118" s="2051"/>
      <c r="W118" s="2051"/>
      <c r="X118" s="2052"/>
      <c r="Y118" s="971"/>
      <c r="Z118" s="971"/>
      <c r="AA118" s="971"/>
      <c r="AB118" s="971"/>
      <c r="AC118" s="971"/>
      <c r="AD118" s="971"/>
      <c r="AE118" s="971"/>
      <c r="AF118" s="971"/>
      <c r="AG118" s="971"/>
      <c r="AH118" s="971"/>
      <c r="AI118" s="971"/>
      <c r="AJ118" s="971"/>
      <c r="AK118" s="971"/>
      <c r="AL118" s="971"/>
      <c r="AM118" s="971"/>
      <c r="AN118" s="971"/>
      <c r="AO118" s="971"/>
      <c r="AP118" s="971"/>
      <c r="AQ118" s="971"/>
      <c r="AR118" s="971"/>
      <c r="AS118" s="971"/>
      <c r="AT118" s="971"/>
      <c r="AU118" s="971"/>
      <c r="AV118" s="971"/>
      <c r="AW118" s="971"/>
      <c r="AX118" s="971"/>
      <c r="AY118" s="971"/>
      <c r="AZ118" s="971"/>
      <c r="BA118" s="971"/>
      <c r="BB118" s="971"/>
      <c r="BC118" s="971"/>
      <c r="BD118" s="971"/>
      <c r="BE118" s="974"/>
    </row>
    <row r="119" spans="1:57" ht="15.75" customHeight="1">
      <c r="A119" s="971"/>
      <c r="B119" s="2047"/>
      <c r="C119" s="2048"/>
      <c r="D119" s="2048"/>
      <c r="E119" s="2048"/>
      <c r="F119" s="2048"/>
      <c r="G119" s="2048"/>
      <c r="H119" s="2048"/>
      <c r="I119" s="2048"/>
      <c r="J119" s="2048"/>
      <c r="K119" s="2048"/>
      <c r="L119" s="2048"/>
      <c r="M119" s="2048"/>
      <c r="N119" s="2048"/>
      <c r="O119" s="2048"/>
      <c r="P119" s="2048"/>
      <c r="Q119" s="2048"/>
      <c r="R119" s="2048"/>
      <c r="S119" s="2048"/>
      <c r="T119" s="2048"/>
      <c r="U119" s="2051"/>
      <c r="V119" s="2051"/>
      <c r="W119" s="2051"/>
      <c r="X119" s="2052"/>
      <c r="Y119" s="971"/>
      <c r="Z119" s="971"/>
      <c r="AA119" s="971"/>
      <c r="AB119" s="971"/>
      <c r="AC119" s="971"/>
      <c r="AD119" s="971"/>
      <c r="AE119" s="971"/>
      <c r="AF119" s="971"/>
      <c r="AG119" s="971"/>
      <c r="AH119" s="971"/>
      <c r="AI119" s="971"/>
      <c r="AJ119" s="971"/>
      <c r="AK119" s="971"/>
      <c r="AL119" s="971"/>
      <c r="AM119" s="971"/>
      <c r="AN119" s="971"/>
      <c r="AO119" s="971"/>
      <c r="AP119" s="971"/>
      <c r="AQ119" s="971"/>
      <c r="AR119" s="971"/>
      <c r="AS119" s="971"/>
      <c r="AT119" s="971"/>
      <c r="AU119" s="971"/>
      <c r="AV119" s="971"/>
      <c r="AW119" s="971"/>
      <c r="AX119" s="971"/>
      <c r="AY119" s="971"/>
      <c r="AZ119" s="971"/>
      <c r="BA119" s="971"/>
      <c r="BB119" s="971"/>
      <c r="BC119" s="971"/>
      <c r="BD119" s="971"/>
      <c r="BE119" s="974"/>
    </row>
    <row r="120" spans="1:57" ht="15.75" customHeight="1">
      <c r="A120" s="971"/>
      <c r="B120" s="2047"/>
      <c r="C120" s="2048"/>
      <c r="D120" s="2048"/>
      <c r="E120" s="2048"/>
      <c r="F120" s="2048"/>
      <c r="G120" s="2048"/>
      <c r="H120" s="2048"/>
      <c r="I120" s="2048"/>
      <c r="J120" s="2048"/>
      <c r="K120" s="2048"/>
      <c r="L120" s="2048"/>
      <c r="M120" s="2048"/>
      <c r="N120" s="2048"/>
      <c r="O120" s="2048"/>
      <c r="P120" s="2048"/>
      <c r="Q120" s="2048"/>
      <c r="R120" s="2048"/>
      <c r="S120" s="2048"/>
      <c r="T120" s="2048"/>
      <c r="U120" s="2051"/>
      <c r="V120" s="2051"/>
      <c r="W120" s="2051"/>
      <c r="X120" s="2052"/>
      <c r="Y120" s="971"/>
      <c r="Z120" s="971"/>
      <c r="AA120" s="971"/>
      <c r="AB120" s="971"/>
      <c r="AC120" s="971"/>
      <c r="AD120" s="971"/>
      <c r="AE120" s="971"/>
      <c r="AF120" s="971"/>
      <c r="AG120" s="971"/>
      <c r="AH120" s="971"/>
      <c r="AI120" s="971"/>
      <c r="AJ120" s="971"/>
      <c r="AK120" s="971"/>
      <c r="AL120" s="971"/>
      <c r="AM120" s="971"/>
      <c r="AN120" s="971"/>
      <c r="AO120" s="971"/>
      <c r="AP120" s="971"/>
      <c r="AQ120" s="971"/>
      <c r="AR120" s="971"/>
      <c r="AS120" s="971"/>
      <c r="AT120" s="971"/>
      <c r="AU120" s="971"/>
      <c r="AV120" s="971"/>
      <c r="AW120" s="971"/>
      <c r="AX120" s="971"/>
      <c r="AY120" s="971"/>
      <c r="AZ120" s="971"/>
      <c r="BA120" s="971"/>
      <c r="BB120" s="971"/>
      <c r="BC120" s="971"/>
      <c r="BD120" s="971"/>
      <c r="BE120" s="974"/>
    </row>
    <row r="121" spans="1:57" ht="15.75" customHeight="1">
      <c r="A121" s="971"/>
      <c r="B121" s="2053" t="s">
        <v>1987</v>
      </c>
      <c r="C121" s="2054"/>
      <c r="D121" s="2054"/>
      <c r="E121" s="2054"/>
      <c r="F121" s="2054"/>
      <c r="G121" s="2054"/>
      <c r="H121" s="2054"/>
      <c r="I121" s="2054"/>
      <c r="J121" s="2054"/>
      <c r="K121" s="2054"/>
      <c r="L121" s="2054"/>
      <c r="M121" s="2054"/>
      <c r="N121" s="2054"/>
      <c r="O121" s="2054"/>
      <c r="P121" s="2054"/>
      <c r="Q121" s="2054"/>
      <c r="R121" s="2054"/>
      <c r="S121" s="2054"/>
      <c r="T121" s="2054"/>
      <c r="U121" s="2057" t="s">
        <v>847</v>
      </c>
      <c r="V121" s="2057"/>
      <c r="W121" s="2057"/>
      <c r="X121" s="2058"/>
      <c r="Y121" s="971"/>
      <c r="Z121" s="971"/>
      <c r="AA121" s="971"/>
      <c r="AB121" s="971"/>
      <c r="AC121" s="971"/>
      <c r="AD121" s="971"/>
      <c r="AE121" s="971"/>
      <c r="AF121" s="971"/>
      <c r="AG121" s="971"/>
      <c r="AH121" s="971"/>
      <c r="AI121" s="971"/>
      <c r="AJ121" s="971"/>
      <c r="AK121" s="971"/>
      <c r="AL121" s="971"/>
      <c r="AM121" s="971"/>
      <c r="AN121" s="971"/>
      <c r="AO121" s="971"/>
      <c r="AP121" s="971"/>
      <c r="AQ121" s="971"/>
      <c r="AR121" s="971"/>
      <c r="AS121" s="971"/>
      <c r="AT121" s="971"/>
      <c r="AU121" s="971"/>
      <c r="AV121" s="971"/>
      <c r="AW121" s="971"/>
      <c r="AX121" s="971"/>
      <c r="AY121" s="971"/>
      <c r="AZ121" s="971"/>
      <c r="BA121" s="971"/>
      <c r="BB121" s="971"/>
      <c r="BC121" s="971"/>
      <c r="BD121" s="971"/>
      <c r="BE121" s="974"/>
    </row>
    <row r="122" spans="1:57" ht="15.75" customHeight="1" thickBot="1">
      <c r="A122" s="971"/>
      <c r="B122" s="2055"/>
      <c r="C122" s="2056"/>
      <c r="D122" s="2056"/>
      <c r="E122" s="2056"/>
      <c r="F122" s="2056"/>
      <c r="G122" s="2056"/>
      <c r="H122" s="2056"/>
      <c r="I122" s="2056"/>
      <c r="J122" s="2056"/>
      <c r="K122" s="2056"/>
      <c r="L122" s="2056"/>
      <c r="M122" s="2056"/>
      <c r="N122" s="2056"/>
      <c r="O122" s="2056"/>
      <c r="P122" s="2056"/>
      <c r="Q122" s="2056"/>
      <c r="R122" s="2056"/>
      <c r="S122" s="2056"/>
      <c r="T122" s="2056"/>
      <c r="U122" s="2059"/>
      <c r="V122" s="2059"/>
      <c r="W122" s="2059"/>
      <c r="X122" s="2060"/>
      <c r="Y122" s="971"/>
      <c r="Z122" s="971"/>
      <c r="AA122" s="971"/>
      <c r="AB122" s="971"/>
      <c r="AC122" s="971"/>
      <c r="AD122" s="971"/>
      <c r="AE122" s="971"/>
      <c r="AF122" s="971"/>
      <c r="AG122" s="971"/>
      <c r="AH122" s="971"/>
      <c r="AI122" s="971"/>
      <c r="AJ122" s="971"/>
      <c r="AK122" s="971"/>
      <c r="AL122" s="971"/>
      <c r="AM122" s="971"/>
      <c r="AN122" s="971"/>
      <c r="AO122" s="971"/>
      <c r="AP122" s="971"/>
      <c r="AQ122" s="971"/>
      <c r="AR122" s="971"/>
      <c r="AS122" s="971"/>
      <c r="AT122" s="971"/>
      <c r="AU122" s="971"/>
      <c r="AV122" s="971"/>
      <c r="AW122" s="971"/>
      <c r="AX122" s="971"/>
      <c r="AY122" s="971"/>
      <c r="AZ122" s="971"/>
      <c r="BA122" s="971"/>
      <c r="BB122" s="971"/>
      <c r="BC122" s="971"/>
      <c r="BD122" s="971"/>
      <c r="BE122" s="974"/>
    </row>
    <row r="123" spans="1:57" ht="15.75" customHeight="1" thickBot="1">
      <c r="A123" s="971"/>
      <c r="B123" s="971"/>
      <c r="C123" s="971"/>
      <c r="D123" s="971"/>
      <c r="E123" s="971"/>
      <c r="F123" s="971"/>
      <c r="G123" s="971"/>
      <c r="H123" s="971"/>
      <c r="I123" s="971"/>
      <c r="J123" s="971"/>
      <c r="K123" s="971"/>
      <c r="L123" s="971"/>
      <c r="M123" s="971"/>
      <c r="N123" s="971"/>
      <c r="O123" s="971"/>
      <c r="P123" s="971"/>
      <c r="Q123" s="971"/>
      <c r="R123" s="971"/>
      <c r="S123" s="971"/>
      <c r="T123" s="971"/>
      <c r="U123" s="971"/>
      <c r="V123" s="971"/>
      <c r="W123" s="971"/>
      <c r="X123" s="971"/>
      <c r="Y123" s="971"/>
      <c r="Z123" s="971"/>
      <c r="AA123" s="971"/>
      <c r="AB123" s="971"/>
      <c r="AC123" s="971"/>
      <c r="AD123" s="971"/>
      <c r="AE123" s="971"/>
      <c r="AF123" s="971"/>
      <c r="AG123" s="971"/>
      <c r="AH123" s="971"/>
      <c r="AI123" s="971"/>
      <c r="AJ123" s="971"/>
      <c r="AK123" s="971"/>
      <c r="AL123" s="971"/>
      <c r="AM123" s="971"/>
      <c r="AN123" s="971"/>
      <c r="AO123" s="971"/>
      <c r="AP123" s="971"/>
      <c r="AQ123" s="971"/>
      <c r="AR123" s="971"/>
      <c r="AS123" s="971"/>
      <c r="AT123" s="971"/>
      <c r="AU123" s="971"/>
      <c r="AV123" s="971"/>
      <c r="AW123" s="971"/>
      <c r="AX123" s="971"/>
      <c r="AY123" s="971"/>
      <c r="AZ123" s="971"/>
      <c r="BA123" s="971"/>
      <c r="BB123" s="971"/>
      <c r="BC123" s="971"/>
      <c r="BD123" s="971"/>
      <c r="BE123" s="974"/>
    </row>
    <row r="124" spans="1:57" ht="15.75" customHeight="1" thickBot="1">
      <c r="A124" s="971"/>
      <c r="B124" s="989" t="s">
        <v>1988</v>
      </c>
      <c r="C124" s="984"/>
      <c r="D124" s="984"/>
      <c r="E124" s="984"/>
      <c r="F124" s="984"/>
      <c r="G124" s="984"/>
      <c r="H124" s="984"/>
      <c r="I124" s="984"/>
      <c r="J124" s="984"/>
      <c r="K124" s="984"/>
      <c r="L124" s="984"/>
      <c r="M124" s="984"/>
      <c r="N124" s="984"/>
      <c r="O124" s="984"/>
      <c r="P124" s="984"/>
      <c r="Q124" s="984"/>
      <c r="R124" s="985"/>
      <c r="S124" s="971"/>
      <c r="T124" s="971"/>
      <c r="U124" s="971"/>
      <c r="V124" s="971"/>
      <c r="W124" s="971"/>
      <c r="X124" s="971"/>
      <c r="Y124" s="971"/>
      <c r="Z124" s="971"/>
      <c r="AA124" s="971"/>
      <c r="AB124" s="971"/>
      <c r="AC124" s="971"/>
      <c r="AD124" s="971"/>
      <c r="AE124" s="971"/>
      <c r="AF124" s="971"/>
      <c r="AG124" s="971"/>
      <c r="AH124" s="971"/>
      <c r="AI124" s="971"/>
      <c r="AJ124" s="971"/>
      <c r="AK124" s="971"/>
      <c r="AL124" s="971"/>
      <c r="AM124" s="971"/>
      <c r="AN124" s="971"/>
      <c r="AO124" s="971"/>
      <c r="AP124" s="971"/>
      <c r="AQ124" s="971"/>
      <c r="AR124" s="971"/>
      <c r="AS124" s="971"/>
      <c r="AT124" s="971"/>
      <c r="AU124" s="971"/>
      <c r="AV124" s="971"/>
      <c r="AW124" s="971"/>
      <c r="AX124" s="971"/>
      <c r="AY124" s="971"/>
      <c r="AZ124" s="971"/>
      <c r="BA124" s="971"/>
      <c r="BB124" s="971"/>
      <c r="BC124" s="971"/>
      <c r="BD124" s="971"/>
      <c r="BE124" s="974"/>
    </row>
    <row r="125" spans="1:57" ht="15.75" customHeight="1" thickBot="1">
      <c r="A125" s="971"/>
      <c r="B125" s="971"/>
      <c r="C125" s="971"/>
      <c r="D125" s="971"/>
      <c r="E125" s="971"/>
      <c r="F125" s="971"/>
      <c r="G125" s="971"/>
      <c r="H125" s="971"/>
      <c r="I125" s="971"/>
      <c r="J125" s="971"/>
      <c r="K125" s="971"/>
      <c r="L125" s="971"/>
      <c r="M125" s="971"/>
      <c r="N125" s="971"/>
      <c r="O125" s="971"/>
      <c r="P125" s="1003"/>
      <c r="Q125" s="971"/>
      <c r="R125" s="971"/>
      <c r="S125" s="971"/>
      <c r="T125" s="971"/>
      <c r="U125" s="971"/>
      <c r="V125" s="971"/>
      <c r="W125" s="971"/>
      <c r="X125" s="2015" t="s">
        <v>1989</v>
      </c>
      <c r="Y125" s="2016"/>
      <c r="Z125" s="2016"/>
      <c r="AA125" s="2016"/>
      <c r="AB125" s="2016"/>
      <c r="AC125" s="2016"/>
      <c r="AD125" s="2016"/>
      <c r="AE125" s="2016"/>
      <c r="AF125" s="2016"/>
      <c r="AG125" s="2016"/>
      <c r="AH125" s="2016"/>
      <c r="AI125" s="2016"/>
      <c r="AJ125" s="2016"/>
      <c r="AK125" s="2016"/>
      <c r="AL125" s="2016"/>
      <c r="AM125" s="2016"/>
      <c r="AN125" s="2016"/>
      <c r="AO125" s="2016"/>
      <c r="AP125" s="2016"/>
      <c r="AQ125" s="2016"/>
      <c r="AR125" s="2016"/>
      <c r="AS125" s="2016"/>
      <c r="AT125" s="2016"/>
      <c r="AU125" s="2016"/>
      <c r="AV125" s="2016"/>
      <c r="AW125" s="2016"/>
      <c r="AX125" s="2016"/>
      <c r="AY125" s="2016"/>
      <c r="AZ125" s="2016"/>
      <c r="BA125" s="2016"/>
      <c r="BB125" s="2016"/>
      <c r="BC125" s="2016"/>
      <c r="BD125" s="2061"/>
      <c r="BE125" s="974"/>
    </row>
    <row r="126" spans="1:57" ht="15.75" customHeight="1">
      <c r="A126" s="971"/>
      <c r="B126" s="2063" t="s">
        <v>1990</v>
      </c>
      <c r="C126" s="2064"/>
      <c r="D126" s="2064"/>
      <c r="E126" s="2064"/>
      <c r="F126" s="2064"/>
      <c r="G126" s="2064"/>
      <c r="H126" s="2064"/>
      <c r="I126" s="2064"/>
      <c r="J126" s="2064"/>
      <c r="K126" s="2064"/>
      <c r="L126" s="2064"/>
      <c r="M126" s="2064"/>
      <c r="N126" s="2064"/>
      <c r="O126" s="2064"/>
      <c r="P126" s="2064"/>
      <c r="Q126" s="2064"/>
      <c r="R126" s="2064"/>
      <c r="S126" s="2064"/>
      <c r="T126" s="2064"/>
      <c r="U126" s="2065"/>
      <c r="V126" s="971"/>
      <c r="W126" s="971"/>
      <c r="X126" s="2017"/>
      <c r="Y126" s="2018"/>
      <c r="Z126" s="2018"/>
      <c r="AA126" s="2018"/>
      <c r="AB126" s="2018"/>
      <c r="AC126" s="2018"/>
      <c r="AD126" s="2018"/>
      <c r="AE126" s="2018"/>
      <c r="AF126" s="2018"/>
      <c r="AG126" s="2018"/>
      <c r="AH126" s="2018"/>
      <c r="AI126" s="2018"/>
      <c r="AJ126" s="2018"/>
      <c r="AK126" s="2018"/>
      <c r="AL126" s="2018"/>
      <c r="AM126" s="2018"/>
      <c r="AN126" s="2018"/>
      <c r="AO126" s="2018"/>
      <c r="AP126" s="2018"/>
      <c r="AQ126" s="2018"/>
      <c r="AR126" s="2018"/>
      <c r="AS126" s="2018"/>
      <c r="AT126" s="2018"/>
      <c r="AU126" s="2018"/>
      <c r="AV126" s="2018"/>
      <c r="AW126" s="2018"/>
      <c r="AX126" s="2018"/>
      <c r="AY126" s="2018"/>
      <c r="AZ126" s="2018"/>
      <c r="BA126" s="2018"/>
      <c r="BB126" s="2018"/>
      <c r="BC126" s="2018"/>
      <c r="BD126" s="2062"/>
      <c r="BE126" s="974"/>
    </row>
    <row r="127" spans="1:57" ht="15.75" customHeight="1">
      <c r="A127" s="971"/>
      <c r="B127" s="2081"/>
      <c r="C127" s="2082"/>
      <c r="D127" s="2082"/>
      <c r="E127" s="2082"/>
      <c r="F127" s="2082"/>
      <c r="G127" s="2082"/>
      <c r="H127" s="2082"/>
      <c r="I127" s="1937" t="s">
        <v>1991</v>
      </c>
      <c r="J127" s="1937"/>
      <c r="K127" s="1937"/>
      <c r="L127" s="1937"/>
      <c r="M127" s="1937"/>
      <c r="N127" s="1937"/>
      <c r="O127" s="2037" t="s">
        <v>1992</v>
      </c>
      <c r="P127" s="2037"/>
      <c r="Q127" s="2037"/>
      <c r="R127" s="2037"/>
      <c r="S127" s="2037"/>
      <c r="T127" s="2037"/>
      <c r="U127" s="2038"/>
      <c r="V127" s="971"/>
      <c r="W127" s="971"/>
      <c r="X127" s="2002" t="s">
        <v>1962</v>
      </c>
      <c r="Y127" s="2003"/>
      <c r="Z127" s="2003"/>
      <c r="AA127" s="2003"/>
      <c r="AB127" s="2003"/>
      <c r="AC127" s="2003"/>
      <c r="AD127" s="2003"/>
      <c r="AE127" s="2003"/>
      <c r="AF127" s="2003"/>
      <c r="AG127" s="2003"/>
      <c r="AH127" s="2003"/>
      <c r="AI127" s="2003"/>
      <c r="AJ127" s="2003"/>
      <c r="AK127" s="2003"/>
      <c r="AL127" s="2003"/>
      <c r="AM127" s="2003"/>
      <c r="AN127" s="2003"/>
      <c r="AO127" s="2003"/>
      <c r="AP127" s="2003"/>
      <c r="AQ127" s="2003"/>
      <c r="AR127" s="2003"/>
      <c r="AS127" s="2003"/>
      <c r="AT127" s="2003"/>
      <c r="AU127" s="2003"/>
      <c r="AV127" s="2003"/>
      <c r="AW127" s="2003"/>
      <c r="AX127" s="2003"/>
      <c r="AY127" s="2003"/>
      <c r="AZ127" s="2003"/>
      <c r="BA127" s="2003"/>
      <c r="BB127" s="2003"/>
      <c r="BC127" s="2003"/>
      <c r="BD127" s="2004"/>
      <c r="BE127" s="974"/>
    </row>
    <row r="128" spans="1:57" ht="15.75" customHeight="1">
      <c r="A128" s="971"/>
      <c r="B128" s="2039" t="s">
        <v>1993</v>
      </c>
      <c r="C128" s="2040"/>
      <c r="D128" s="2040"/>
      <c r="E128" s="2040"/>
      <c r="F128" s="2040"/>
      <c r="G128" s="2040"/>
      <c r="H128" s="2040"/>
      <c r="I128" s="2013">
        <v>0</v>
      </c>
      <c r="J128" s="2013"/>
      <c r="K128" s="2013"/>
      <c r="L128" s="2013"/>
      <c r="M128" s="2013"/>
      <c r="N128" s="2013"/>
      <c r="O128" s="2013">
        <v>0</v>
      </c>
      <c r="P128" s="2013"/>
      <c r="Q128" s="2013"/>
      <c r="R128" s="2013"/>
      <c r="S128" s="2013"/>
      <c r="T128" s="2013"/>
      <c r="U128" s="2014"/>
      <c r="V128" s="971"/>
      <c r="W128" s="971"/>
      <c r="X128" s="2002"/>
      <c r="Y128" s="2003"/>
      <c r="Z128" s="2003"/>
      <c r="AA128" s="2003"/>
      <c r="AB128" s="2003"/>
      <c r="AC128" s="2003"/>
      <c r="AD128" s="2003"/>
      <c r="AE128" s="2003"/>
      <c r="AF128" s="2003"/>
      <c r="AG128" s="2003"/>
      <c r="AH128" s="2003"/>
      <c r="AI128" s="2003"/>
      <c r="AJ128" s="2003"/>
      <c r="AK128" s="2003"/>
      <c r="AL128" s="2003"/>
      <c r="AM128" s="2003"/>
      <c r="AN128" s="2003"/>
      <c r="AO128" s="2003"/>
      <c r="AP128" s="2003"/>
      <c r="AQ128" s="2003"/>
      <c r="AR128" s="2003"/>
      <c r="AS128" s="2003"/>
      <c r="AT128" s="2003"/>
      <c r="AU128" s="2003"/>
      <c r="AV128" s="2003"/>
      <c r="AW128" s="2003"/>
      <c r="AX128" s="2003"/>
      <c r="AY128" s="2003"/>
      <c r="AZ128" s="2003"/>
      <c r="BA128" s="2003"/>
      <c r="BB128" s="2003"/>
      <c r="BC128" s="2003"/>
      <c r="BD128" s="2004"/>
      <c r="BE128" s="974"/>
    </row>
    <row r="129" spans="1:57" ht="15.75" customHeight="1" thickBot="1">
      <c r="A129" s="971"/>
      <c r="B129" s="2041" t="s">
        <v>1994</v>
      </c>
      <c r="C129" s="2042"/>
      <c r="D129" s="2042"/>
      <c r="E129" s="2042"/>
      <c r="F129" s="2042"/>
      <c r="G129" s="2042"/>
      <c r="H129" s="2042"/>
      <c r="I129" s="2028">
        <v>0</v>
      </c>
      <c r="J129" s="2028"/>
      <c r="K129" s="2028"/>
      <c r="L129" s="2028"/>
      <c r="M129" s="2028"/>
      <c r="N129" s="2028"/>
      <c r="O129" s="2043"/>
      <c r="P129" s="2043"/>
      <c r="Q129" s="2043"/>
      <c r="R129" s="2043"/>
      <c r="S129" s="2043"/>
      <c r="T129" s="2043"/>
      <c r="U129" s="2044"/>
      <c r="V129" s="971"/>
      <c r="W129" s="971"/>
      <c r="X129" s="2002"/>
      <c r="Y129" s="2003"/>
      <c r="Z129" s="2003"/>
      <c r="AA129" s="2003"/>
      <c r="AB129" s="2003"/>
      <c r="AC129" s="2003"/>
      <c r="AD129" s="2003"/>
      <c r="AE129" s="2003"/>
      <c r="AF129" s="2003"/>
      <c r="AG129" s="2003"/>
      <c r="AH129" s="2003"/>
      <c r="AI129" s="2003"/>
      <c r="AJ129" s="2003"/>
      <c r="AK129" s="2003"/>
      <c r="AL129" s="2003"/>
      <c r="AM129" s="2003"/>
      <c r="AN129" s="2003"/>
      <c r="AO129" s="2003"/>
      <c r="AP129" s="2003"/>
      <c r="AQ129" s="2003"/>
      <c r="AR129" s="2003"/>
      <c r="AS129" s="2003"/>
      <c r="AT129" s="2003"/>
      <c r="AU129" s="2003"/>
      <c r="AV129" s="2003"/>
      <c r="AW129" s="2003"/>
      <c r="AX129" s="2003"/>
      <c r="AY129" s="2003"/>
      <c r="AZ129" s="2003"/>
      <c r="BA129" s="2003"/>
      <c r="BB129" s="2003"/>
      <c r="BC129" s="2003"/>
      <c r="BD129" s="2004"/>
      <c r="BE129" s="974"/>
    </row>
    <row r="130" spans="1:57" ht="15.75" customHeight="1" thickBot="1">
      <c r="A130" s="971"/>
      <c r="B130" s="971"/>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2002"/>
      <c r="Y130" s="2003"/>
      <c r="Z130" s="2003"/>
      <c r="AA130" s="2003"/>
      <c r="AB130" s="2003"/>
      <c r="AC130" s="2003"/>
      <c r="AD130" s="2003"/>
      <c r="AE130" s="2003"/>
      <c r="AF130" s="2003"/>
      <c r="AG130" s="2003"/>
      <c r="AH130" s="2003"/>
      <c r="AI130" s="2003"/>
      <c r="AJ130" s="2003"/>
      <c r="AK130" s="2003"/>
      <c r="AL130" s="2003"/>
      <c r="AM130" s="2003"/>
      <c r="AN130" s="2003"/>
      <c r="AO130" s="2003"/>
      <c r="AP130" s="2003"/>
      <c r="AQ130" s="2003"/>
      <c r="AR130" s="2003"/>
      <c r="AS130" s="2003"/>
      <c r="AT130" s="2003"/>
      <c r="AU130" s="2003"/>
      <c r="AV130" s="2003"/>
      <c r="AW130" s="2003"/>
      <c r="AX130" s="2003"/>
      <c r="AY130" s="2003"/>
      <c r="AZ130" s="2003"/>
      <c r="BA130" s="2003"/>
      <c r="BB130" s="2003"/>
      <c r="BC130" s="2003"/>
      <c r="BD130" s="2004"/>
      <c r="BE130" s="974"/>
    </row>
    <row r="131" spans="1:57" ht="15.75" customHeight="1" thickBot="1">
      <c r="A131" s="971"/>
      <c r="B131" s="989" t="s">
        <v>1995</v>
      </c>
      <c r="C131" s="990"/>
      <c r="D131" s="990"/>
      <c r="E131" s="990"/>
      <c r="F131" s="990"/>
      <c r="G131" s="990"/>
      <c r="H131" s="990"/>
      <c r="I131" s="990"/>
      <c r="J131" s="990"/>
      <c r="K131" s="990"/>
      <c r="L131" s="990"/>
      <c r="M131" s="990"/>
      <c r="N131" s="990"/>
      <c r="O131" s="990"/>
      <c r="P131" s="991"/>
      <c r="Q131" s="975" t="s">
        <v>254</v>
      </c>
      <c r="R131" s="975" t="s">
        <v>254</v>
      </c>
      <c r="S131" s="971"/>
      <c r="T131" s="971"/>
      <c r="U131" s="971"/>
      <c r="V131" s="971" t="s">
        <v>254</v>
      </c>
      <c r="W131" s="971"/>
      <c r="X131" s="2002"/>
      <c r="Y131" s="2003"/>
      <c r="Z131" s="2003"/>
      <c r="AA131" s="2003"/>
      <c r="AB131" s="2003"/>
      <c r="AC131" s="2003"/>
      <c r="AD131" s="2003"/>
      <c r="AE131" s="2003"/>
      <c r="AF131" s="2003"/>
      <c r="AG131" s="2003"/>
      <c r="AH131" s="2003"/>
      <c r="AI131" s="2003"/>
      <c r="AJ131" s="2003"/>
      <c r="AK131" s="2003"/>
      <c r="AL131" s="2003"/>
      <c r="AM131" s="2003"/>
      <c r="AN131" s="2003"/>
      <c r="AO131" s="2003"/>
      <c r="AP131" s="2003"/>
      <c r="AQ131" s="2003"/>
      <c r="AR131" s="2003"/>
      <c r="AS131" s="2003"/>
      <c r="AT131" s="2003"/>
      <c r="AU131" s="2003"/>
      <c r="AV131" s="2003"/>
      <c r="AW131" s="2003"/>
      <c r="AX131" s="2003"/>
      <c r="AY131" s="2003"/>
      <c r="AZ131" s="2003"/>
      <c r="BA131" s="2003"/>
      <c r="BB131" s="2003"/>
      <c r="BC131" s="2003"/>
      <c r="BD131" s="2004"/>
      <c r="BE131" s="974"/>
    </row>
    <row r="132" spans="1:57" ht="15.75" customHeight="1" thickBot="1">
      <c r="A132" s="971"/>
      <c r="B132" s="971"/>
      <c r="C132" s="971"/>
      <c r="D132" s="971"/>
      <c r="E132" s="971"/>
      <c r="F132" s="971"/>
      <c r="G132" s="971"/>
      <c r="H132" s="971"/>
      <c r="I132" s="971"/>
      <c r="J132" s="971"/>
      <c r="K132" s="971"/>
      <c r="L132" s="971"/>
      <c r="M132" s="971"/>
      <c r="N132" s="971"/>
      <c r="O132" s="971"/>
      <c r="P132" s="971"/>
      <c r="Q132" s="971"/>
      <c r="R132" s="971"/>
      <c r="S132" s="971"/>
      <c r="T132" s="971"/>
      <c r="U132" s="971"/>
      <c r="V132" s="971"/>
      <c r="W132" s="971"/>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974"/>
    </row>
    <row r="133" spans="1:57" ht="15.75" customHeight="1">
      <c r="A133" s="971"/>
      <c r="B133" s="1838" t="s">
        <v>1996</v>
      </c>
      <c r="C133" s="1839"/>
      <c r="D133" s="1839"/>
      <c r="E133" s="1839"/>
      <c r="F133" s="1839"/>
      <c r="G133" s="1839"/>
      <c r="H133" s="1839"/>
      <c r="I133" s="1839"/>
      <c r="J133" s="1839"/>
      <c r="K133" s="1839"/>
      <c r="L133" s="1839"/>
      <c r="M133" s="1839"/>
      <c r="N133" s="1839"/>
      <c r="O133" s="1839"/>
      <c r="P133" s="1839"/>
      <c r="Q133" s="1839"/>
      <c r="R133" s="1839"/>
      <c r="S133" s="1839"/>
      <c r="T133" s="1839"/>
      <c r="U133" s="1840"/>
      <c r="V133" s="971"/>
      <c r="W133" s="971"/>
      <c r="X133" s="2002"/>
      <c r="Y133" s="2003"/>
      <c r="Z133" s="2003"/>
      <c r="AA133" s="2003"/>
      <c r="AB133" s="2003"/>
      <c r="AC133" s="2003"/>
      <c r="AD133" s="2003"/>
      <c r="AE133" s="2003"/>
      <c r="AF133" s="2003"/>
      <c r="AG133" s="2003"/>
      <c r="AH133" s="2003"/>
      <c r="AI133" s="2003"/>
      <c r="AJ133" s="2003"/>
      <c r="AK133" s="2003"/>
      <c r="AL133" s="2003"/>
      <c r="AM133" s="2003"/>
      <c r="AN133" s="2003"/>
      <c r="AO133" s="2003"/>
      <c r="AP133" s="2003"/>
      <c r="AQ133" s="2003"/>
      <c r="AR133" s="2003"/>
      <c r="AS133" s="2003"/>
      <c r="AT133" s="2003"/>
      <c r="AU133" s="2003"/>
      <c r="AV133" s="2003"/>
      <c r="AW133" s="2003"/>
      <c r="AX133" s="2003"/>
      <c r="AY133" s="2003"/>
      <c r="AZ133" s="2003"/>
      <c r="BA133" s="2003"/>
      <c r="BB133" s="2003"/>
      <c r="BC133" s="2003"/>
      <c r="BD133" s="2004"/>
      <c r="BE133" s="974"/>
    </row>
    <row r="134" spans="1:57" ht="15.75" customHeight="1">
      <c r="A134" s="971"/>
      <c r="B134" s="2081"/>
      <c r="C134" s="2082"/>
      <c r="D134" s="2082"/>
      <c r="E134" s="2082"/>
      <c r="F134" s="2082"/>
      <c r="G134" s="2082"/>
      <c r="H134" s="2082"/>
      <c r="I134" s="2083" t="s">
        <v>1971</v>
      </c>
      <c r="J134" s="2083"/>
      <c r="K134" s="2083"/>
      <c r="L134" s="2083"/>
      <c r="M134" s="2083"/>
      <c r="N134" s="2083"/>
      <c r="O134" s="2083"/>
      <c r="P134" s="2083" t="s">
        <v>1972</v>
      </c>
      <c r="Q134" s="2083"/>
      <c r="R134" s="2083"/>
      <c r="S134" s="2083"/>
      <c r="T134" s="2083"/>
      <c r="U134" s="2084"/>
      <c r="V134" s="971"/>
      <c r="W134" s="971"/>
      <c r="X134" s="2002"/>
      <c r="Y134" s="2003"/>
      <c r="Z134" s="2003"/>
      <c r="AA134" s="2003"/>
      <c r="AB134" s="2003"/>
      <c r="AC134" s="2003"/>
      <c r="AD134" s="2003"/>
      <c r="AE134" s="2003"/>
      <c r="AF134" s="2003"/>
      <c r="AG134" s="2003"/>
      <c r="AH134" s="2003"/>
      <c r="AI134" s="2003"/>
      <c r="AJ134" s="2003"/>
      <c r="AK134" s="2003"/>
      <c r="AL134" s="2003"/>
      <c r="AM134" s="2003"/>
      <c r="AN134" s="2003"/>
      <c r="AO134" s="2003"/>
      <c r="AP134" s="2003"/>
      <c r="AQ134" s="2003"/>
      <c r="AR134" s="2003"/>
      <c r="AS134" s="2003"/>
      <c r="AT134" s="2003"/>
      <c r="AU134" s="2003"/>
      <c r="AV134" s="2003"/>
      <c r="AW134" s="2003"/>
      <c r="AX134" s="2003"/>
      <c r="AY134" s="2003"/>
      <c r="AZ134" s="2003"/>
      <c r="BA134" s="2003"/>
      <c r="BB134" s="2003"/>
      <c r="BC134" s="2003"/>
      <c r="BD134" s="2004"/>
      <c r="BE134" s="974"/>
    </row>
    <row r="135" spans="1:57" ht="15.75" customHeight="1">
      <c r="A135" s="971"/>
      <c r="B135" s="2081"/>
      <c r="C135" s="2082"/>
      <c r="D135" s="2082"/>
      <c r="E135" s="2082"/>
      <c r="F135" s="2082"/>
      <c r="G135" s="2082"/>
      <c r="H135" s="2082"/>
      <c r="I135" s="2083"/>
      <c r="J135" s="2083"/>
      <c r="K135" s="2083"/>
      <c r="L135" s="2083"/>
      <c r="M135" s="2083"/>
      <c r="N135" s="2083"/>
      <c r="O135" s="2083"/>
      <c r="P135" s="2083"/>
      <c r="Q135" s="2083"/>
      <c r="R135" s="2083"/>
      <c r="S135" s="2083"/>
      <c r="T135" s="2083"/>
      <c r="U135" s="2084"/>
      <c r="V135" s="971"/>
      <c r="W135" s="971"/>
      <c r="X135" s="2002"/>
      <c r="Y135" s="2003"/>
      <c r="Z135" s="2003"/>
      <c r="AA135" s="2003"/>
      <c r="AB135" s="2003"/>
      <c r="AC135" s="2003"/>
      <c r="AD135" s="2003"/>
      <c r="AE135" s="2003"/>
      <c r="AF135" s="2003"/>
      <c r="AG135" s="2003"/>
      <c r="AH135" s="2003"/>
      <c r="AI135" s="2003"/>
      <c r="AJ135" s="2003"/>
      <c r="AK135" s="2003"/>
      <c r="AL135" s="2003"/>
      <c r="AM135" s="2003"/>
      <c r="AN135" s="2003"/>
      <c r="AO135" s="2003"/>
      <c r="AP135" s="2003"/>
      <c r="AQ135" s="2003"/>
      <c r="AR135" s="2003"/>
      <c r="AS135" s="2003"/>
      <c r="AT135" s="2003"/>
      <c r="AU135" s="2003"/>
      <c r="AV135" s="2003"/>
      <c r="AW135" s="2003"/>
      <c r="AX135" s="2003"/>
      <c r="AY135" s="2003"/>
      <c r="AZ135" s="2003"/>
      <c r="BA135" s="2003"/>
      <c r="BB135" s="2003"/>
      <c r="BC135" s="2003"/>
      <c r="BD135" s="2004"/>
      <c r="BE135" s="974"/>
    </row>
    <row r="136" spans="1:57" ht="15.75" customHeight="1">
      <c r="A136" s="971"/>
      <c r="B136" s="2039" t="s">
        <v>1993</v>
      </c>
      <c r="C136" s="2040"/>
      <c r="D136" s="2040"/>
      <c r="E136" s="2040"/>
      <c r="F136" s="2040"/>
      <c r="G136" s="2040"/>
      <c r="H136" s="2040"/>
      <c r="I136" s="2013">
        <v>0</v>
      </c>
      <c r="J136" s="2013"/>
      <c r="K136" s="2013"/>
      <c r="L136" s="2013"/>
      <c r="M136" s="2013"/>
      <c r="N136" s="2013"/>
      <c r="O136" s="2013"/>
      <c r="P136" s="2013">
        <v>0</v>
      </c>
      <c r="Q136" s="2013"/>
      <c r="R136" s="2013"/>
      <c r="S136" s="2013"/>
      <c r="T136" s="2013"/>
      <c r="U136" s="2014"/>
      <c r="V136" s="971"/>
      <c r="W136" s="971"/>
      <c r="X136" s="2002"/>
      <c r="Y136" s="2003"/>
      <c r="Z136" s="2003"/>
      <c r="AA136" s="2003"/>
      <c r="AB136" s="2003"/>
      <c r="AC136" s="2003"/>
      <c r="AD136" s="2003"/>
      <c r="AE136" s="2003"/>
      <c r="AF136" s="2003"/>
      <c r="AG136" s="2003"/>
      <c r="AH136" s="2003"/>
      <c r="AI136" s="2003"/>
      <c r="AJ136" s="2003"/>
      <c r="AK136" s="2003"/>
      <c r="AL136" s="2003"/>
      <c r="AM136" s="2003"/>
      <c r="AN136" s="2003"/>
      <c r="AO136" s="2003"/>
      <c r="AP136" s="2003"/>
      <c r="AQ136" s="2003"/>
      <c r="AR136" s="2003"/>
      <c r="AS136" s="2003"/>
      <c r="AT136" s="2003"/>
      <c r="AU136" s="2003"/>
      <c r="AV136" s="2003"/>
      <c r="AW136" s="2003"/>
      <c r="AX136" s="2003"/>
      <c r="AY136" s="2003"/>
      <c r="AZ136" s="2003"/>
      <c r="BA136" s="2003"/>
      <c r="BB136" s="2003"/>
      <c r="BC136" s="2003"/>
      <c r="BD136" s="2004"/>
      <c r="BE136" s="974"/>
    </row>
    <row r="137" spans="1:57" ht="15.75" customHeight="1" thickBot="1">
      <c r="A137" s="971"/>
      <c r="B137" s="2041" t="s">
        <v>1994</v>
      </c>
      <c r="C137" s="2042"/>
      <c r="D137" s="2042"/>
      <c r="E137" s="2042"/>
      <c r="F137" s="2042"/>
      <c r="G137" s="2042"/>
      <c r="H137" s="2042"/>
      <c r="I137" s="2028">
        <v>0</v>
      </c>
      <c r="J137" s="2028"/>
      <c r="K137" s="2028"/>
      <c r="L137" s="2028"/>
      <c r="M137" s="2028"/>
      <c r="N137" s="2028"/>
      <c r="O137" s="2028"/>
      <c r="P137" s="2028">
        <v>0</v>
      </c>
      <c r="Q137" s="2028"/>
      <c r="R137" s="2028"/>
      <c r="S137" s="2028"/>
      <c r="T137" s="2028"/>
      <c r="U137" s="2029"/>
      <c r="V137" s="971"/>
      <c r="W137" s="971"/>
      <c r="X137" s="2005"/>
      <c r="Y137" s="2006"/>
      <c r="Z137" s="2006"/>
      <c r="AA137" s="2006"/>
      <c r="AB137" s="2006"/>
      <c r="AC137" s="2006"/>
      <c r="AD137" s="2006"/>
      <c r="AE137" s="2006"/>
      <c r="AF137" s="2006"/>
      <c r="AG137" s="2006"/>
      <c r="AH137" s="2006"/>
      <c r="AI137" s="2006"/>
      <c r="AJ137" s="2006"/>
      <c r="AK137" s="2006"/>
      <c r="AL137" s="2006"/>
      <c r="AM137" s="2006"/>
      <c r="AN137" s="2006"/>
      <c r="AO137" s="2006"/>
      <c r="AP137" s="2006"/>
      <c r="AQ137" s="2006"/>
      <c r="AR137" s="2006"/>
      <c r="AS137" s="2006"/>
      <c r="AT137" s="2006"/>
      <c r="AU137" s="2006"/>
      <c r="AV137" s="2006"/>
      <c r="AW137" s="2006"/>
      <c r="AX137" s="2006"/>
      <c r="AY137" s="2006"/>
      <c r="AZ137" s="2006"/>
      <c r="BA137" s="2006"/>
      <c r="BB137" s="2006"/>
      <c r="BC137" s="2006"/>
      <c r="BD137" s="2007"/>
      <c r="BE137" s="974"/>
    </row>
    <row r="138" spans="1:57" ht="15.75" customHeight="1" thickBot="1">
      <c r="A138" s="971"/>
      <c r="B138" s="971"/>
      <c r="C138" s="971"/>
      <c r="D138" s="971"/>
      <c r="E138" s="971"/>
      <c r="F138" s="971"/>
      <c r="G138" s="971"/>
      <c r="H138" s="971"/>
      <c r="I138" s="971"/>
      <c r="J138" s="971"/>
      <c r="K138" s="971"/>
      <c r="L138" s="971"/>
      <c r="M138" s="971"/>
      <c r="N138" s="971"/>
      <c r="O138" s="971"/>
      <c r="P138" s="971"/>
      <c r="Q138" s="1005"/>
      <c r="R138" s="971"/>
      <c r="S138" s="971"/>
      <c r="T138" s="971"/>
      <c r="U138" s="971"/>
      <c r="V138" s="971"/>
      <c r="W138" s="971"/>
      <c r="X138" s="971"/>
      <c r="Y138" s="971"/>
      <c r="Z138" s="971"/>
      <c r="AA138" s="971"/>
      <c r="AB138" s="971"/>
      <c r="AC138" s="971"/>
      <c r="AD138" s="971"/>
      <c r="AE138" s="971"/>
      <c r="AF138" s="971"/>
      <c r="AG138" s="971"/>
      <c r="AH138" s="971"/>
      <c r="AI138" s="971"/>
      <c r="AJ138" s="971"/>
      <c r="AK138" s="971"/>
      <c r="AL138" s="971"/>
      <c r="AM138" s="971"/>
      <c r="AN138" s="971"/>
      <c r="AO138" s="971"/>
      <c r="AP138" s="971"/>
      <c r="AQ138" s="971"/>
      <c r="AR138" s="971"/>
      <c r="AS138" s="971"/>
      <c r="AT138" s="971"/>
      <c r="AU138" s="971"/>
      <c r="AV138" s="971"/>
      <c r="AW138" s="971"/>
      <c r="AX138" s="971"/>
      <c r="AY138" s="971"/>
      <c r="AZ138" s="971"/>
      <c r="BA138" s="971"/>
      <c r="BB138" s="971"/>
      <c r="BC138" s="971"/>
      <c r="BD138" s="971"/>
      <c r="BE138" s="974"/>
    </row>
    <row r="139" spans="1:57" ht="15.75" customHeight="1">
      <c r="A139" s="971"/>
      <c r="B139" s="2079" t="s">
        <v>1997</v>
      </c>
      <c r="C139" s="2080"/>
      <c r="D139" s="2080"/>
      <c r="E139" s="2080"/>
      <c r="F139" s="2080"/>
      <c r="G139" s="2080"/>
      <c r="H139" s="2080"/>
      <c r="I139" s="2080"/>
      <c r="J139" s="2080"/>
      <c r="K139" s="2080"/>
      <c r="L139" s="2080"/>
      <c r="M139" s="2080"/>
      <c r="N139" s="2080"/>
      <c r="O139" s="2080"/>
      <c r="P139" s="2080"/>
      <c r="Q139" s="2080"/>
      <c r="R139" s="2080"/>
      <c r="S139" s="2080"/>
      <c r="T139" s="2080"/>
      <c r="U139" s="2080"/>
      <c r="V139" s="2080"/>
      <c r="W139" s="2080"/>
      <c r="X139" s="2080"/>
      <c r="Y139" s="2080"/>
      <c r="Z139" s="2080"/>
      <c r="AA139" s="2080"/>
      <c r="AB139" s="2080"/>
      <c r="AC139" s="2080"/>
      <c r="AD139" s="2080"/>
      <c r="AE139" s="2080"/>
      <c r="AF139" s="2080"/>
      <c r="AG139" s="2080"/>
      <c r="AH139" s="1961" t="s">
        <v>847</v>
      </c>
      <c r="AI139" s="1961"/>
      <c r="AJ139" s="1961"/>
      <c r="AK139" s="1961"/>
      <c r="AL139" s="1961"/>
      <c r="AM139" s="1961"/>
      <c r="AN139" s="1961"/>
      <c r="AO139" s="1961"/>
      <c r="AP139" s="1961"/>
      <c r="AQ139" s="1961"/>
      <c r="AR139" s="1961"/>
      <c r="AS139" s="1961"/>
      <c r="AT139" s="1961"/>
      <c r="AU139" s="1961"/>
      <c r="AV139" s="1961"/>
      <c r="AW139" s="1961"/>
      <c r="AX139" s="1962"/>
      <c r="AY139" s="971"/>
      <c r="AZ139" s="971"/>
      <c r="BA139" s="971"/>
      <c r="BB139" s="971"/>
      <c r="BC139" s="971"/>
      <c r="BD139" s="971"/>
      <c r="BE139" s="974"/>
    </row>
    <row r="140" spans="1:57" ht="15.75" customHeight="1" thickBot="1">
      <c r="A140" s="971"/>
      <c r="B140" s="2066" t="s">
        <v>1998</v>
      </c>
      <c r="C140" s="2067"/>
      <c r="D140" s="2067"/>
      <c r="E140" s="2067"/>
      <c r="F140" s="2067"/>
      <c r="G140" s="2067"/>
      <c r="H140" s="2067"/>
      <c r="I140" s="2067"/>
      <c r="J140" s="2067"/>
      <c r="K140" s="2067"/>
      <c r="L140" s="2067"/>
      <c r="M140" s="2067"/>
      <c r="N140" s="2067"/>
      <c r="O140" s="2067"/>
      <c r="P140" s="2067"/>
      <c r="Q140" s="2067"/>
      <c r="R140" s="2067"/>
      <c r="S140" s="2067"/>
      <c r="T140" s="2067"/>
      <c r="U140" s="2067"/>
      <c r="V140" s="2067"/>
      <c r="W140" s="2067"/>
      <c r="X140" s="2067"/>
      <c r="Y140" s="2067"/>
      <c r="Z140" s="2067"/>
      <c r="AA140" s="2067"/>
      <c r="AB140" s="2067"/>
      <c r="AC140" s="2067"/>
      <c r="AD140" s="2067"/>
      <c r="AE140" s="2067"/>
      <c r="AF140" s="2067"/>
      <c r="AG140" s="2068"/>
      <c r="AH140" s="2030"/>
      <c r="AI140" s="2031"/>
      <c r="AJ140" s="2031"/>
      <c r="AK140" s="2031"/>
      <c r="AL140" s="2031"/>
      <c r="AM140" s="2031"/>
      <c r="AN140" s="2031"/>
      <c r="AO140" s="2031"/>
      <c r="AP140" s="2031"/>
      <c r="AQ140" s="2031"/>
      <c r="AR140" s="2031"/>
      <c r="AS140" s="2031"/>
      <c r="AT140" s="2031"/>
      <c r="AU140" s="2031"/>
      <c r="AV140" s="2031"/>
      <c r="AW140" s="2031"/>
      <c r="AX140" s="2032"/>
      <c r="AY140" s="971"/>
      <c r="AZ140" s="971"/>
      <c r="BA140" s="971"/>
      <c r="BB140" s="971"/>
      <c r="BC140" s="971"/>
      <c r="BD140" s="971"/>
      <c r="BE140" s="974"/>
    </row>
    <row r="141" spans="1:57" ht="15.75" customHeight="1">
      <c r="A141" s="971"/>
      <c r="B141" s="2066" t="s">
        <v>1999</v>
      </c>
      <c r="C141" s="2067"/>
      <c r="D141" s="2067"/>
      <c r="E141" s="2067"/>
      <c r="F141" s="2067"/>
      <c r="G141" s="2067"/>
      <c r="H141" s="2067"/>
      <c r="I141" s="2067"/>
      <c r="J141" s="2067"/>
      <c r="K141" s="2067"/>
      <c r="L141" s="2067"/>
      <c r="M141" s="2067"/>
      <c r="N141" s="2067"/>
      <c r="O141" s="2067"/>
      <c r="P141" s="2067"/>
      <c r="Q141" s="2067"/>
      <c r="R141" s="2067"/>
      <c r="S141" s="2067"/>
      <c r="T141" s="2067"/>
      <c r="U141" s="2067"/>
      <c r="V141" s="2067"/>
      <c r="W141" s="2067"/>
      <c r="X141" s="2067"/>
      <c r="Y141" s="2067"/>
      <c r="Z141" s="2067"/>
      <c r="AA141" s="2067"/>
      <c r="AB141" s="2067"/>
      <c r="AC141" s="2067"/>
      <c r="AD141" s="2067"/>
      <c r="AE141" s="2067"/>
      <c r="AF141" s="2067"/>
      <c r="AG141" s="2068"/>
      <c r="AH141" s="1961" t="s">
        <v>847</v>
      </c>
      <c r="AI141" s="1961"/>
      <c r="AJ141" s="1961"/>
      <c r="AK141" s="1961"/>
      <c r="AL141" s="1961"/>
      <c r="AM141" s="1961"/>
      <c r="AN141" s="1961"/>
      <c r="AO141" s="1961"/>
      <c r="AP141" s="1961"/>
      <c r="AQ141" s="1961"/>
      <c r="AR141" s="1961"/>
      <c r="AS141" s="1961"/>
      <c r="AT141" s="1961"/>
      <c r="AU141" s="1961"/>
      <c r="AV141" s="1961"/>
      <c r="AW141" s="1961"/>
      <c r="AX141" s="1962"/>
      <c r="AY141" s="971"/>
      <c r="AZ141" s="971"/>
      <c r="BA141" s="971"/>
      <c r="BB141" s="971"/>
      <c r="BC141" s="971"/>
      <c r="BD141" s="971"/>
      <c r="BE141" s="974"/>
    </row>
    <row r="142" spans="1:57" ht="15.75" customHeight="1">
      <c r="A142" s="971"/>
      <c r="B142" s="2069" t="s">
        <v>2000</v>
      </c>
      <c r="C142" s="2070"/>
      <c r="D142" s="2070"/>
      <c r="E142" s="2070"/>
      <c r="F142" s="2070"/>
      <c r="G142" s="2070"/>
      <c r="H142" s="2070"/>
      <c r="I142" s="2070"/>
      <c r="J142" s="2070"/>
      <c r="K142" s="2070"/>
      <c r="L142" s="2070"/>
      <c r="M142" s="2070"/>
      <c r="N142" s="2070"/>
      <c r="O142" s="2070"/>
      <c r="P142" s="2070"/>
      <c r="Q142" s="2070"/>
      <c r="R142" s="2071" t="s">
        <v>2001</v>
      </c>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1"/>
      <c r="AO142" s="2071"/>
      <c r="AP142" s="2071"/>
      <c r="AQ142" s="2071"/>
      <c r="AR142" s="2071"/>
      <c r="AS142" s="2071"/>
      <c r="AT142" s="2071"/>
      <c r="AU142" s="2071"/>
      <c r="AV142" s="2071"/>
      <c r="AW142" s="2071"/>
      <c r="AX142" s="2072"/>
      <c r="AY142" s="971"/>
      <c r="AZ142" s="971"/>
      <c r="BA142" s="971"/>
      <c r="BB142" s="971"/>
      <c r="BC142" s="971" t="s">
        <v>254</v>
      </c>
      <c r="BD142" s="971"/>
      <c r="BE142" s="974"/>
    </row>
    <row r="143" spans="1:57" ht="15.75" customHeight="1">
      <c r="A143" s="971"/>
      <c r="B143" s="2073" t="s">
        <v>2002</v>
      </c>
      <c r="C143" s="2074"/>
      <c r="D143" s="2074"/>
      <c r="E143" s="2074"/>
      <c r="F143" s="2074"/>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c r="AJ143" s="2074"/>
      <c r="AK143" s="2074"/>
      <c r="AL143" s="2074"/>
      <c r="AM143" s="2074"/>
      <c r="AN143" s="2074"/>
      <c r="AO143" s="2074"/>
      <c r="AP143" s="2074"/>
      <c r="AQ143" s="2074"/>
      <c r="AR143" s="2074"/>
      <c r="AS143" s="2074"/>
      <c r="AT143" s="2074"/>
      <c r="AU143" s="2074"/>
      <c r="AV143" s="2074"/>
      <c r="AW143" s="2074"/>
      <c r="AX143" s="2075"/>
      <c r="AY143" s="971"/>
      <c r="AZ143" s="971"/>
      <c r="BA143" s="971"/>
      <c r="BB143" s="971"/>
      <c r="BC143" s="971"/>
      <c r="BD143" s="971"/>
      <c r="BE143" s="974"/>
    </row>
    <row r="144" spans="1:57" ht="15.75" customHeight="1">
      <c r="A144" s="971"/>
      <c r="B144" s="2073"/>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c r="AJ144" s="2074"/>
      <c r="AK144" s="2074"/>
      <c r="AL144" s="2074"/>
      <c r="AM144" s="2074"/>
      <c r="AN144" s="2074"/>
      <c r="AO144" s="2074"/>
      <c r="AP144" s="2074"/>
      <c r="AQ144" s="2074"/>
      <c r="AR144" s="2074"/>
      <c r="AS144" s="2074"/>
      <c r="AT144" s="2074"/>
      <c r="AU144" s="2074"/>
      <c r="AV144" s="2074"/>
      <c r="AW144" s="2074"/>
      <c r="AX144" s="2075"/>
      <c r="AY144" s="971"/>
      <c r="AZ144" s="971"/>
      <c r="BA144" s="971"/>
      <c r="BB144" s="971"/>
      <c r="BC144" s="971"/>
      <c r="BD144" s="971"/>
      <c r="BE144" s="974"/>
    </row>
    <row r="145" spans="1:57" ht="15.75" customHeight="1">
      <c r="A145" s="971"/>
      <c r="B145" s="2073"/>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c r="AJ145" s="2074"/>
      <c r="AK145" s="2074"/>
      <c r="AL145" s="2074"/>
      <c r="AM145" s="2074"/>
      <c r="AN145" s="2074"/>
      <c r="AO145" s="2074"/>
      <c r="AP145" s="2074"/>
      <c r="AQ145" s="2074"/>
      <c r="AR145" s="2074"/>
      <c r="AS145" s="2074"/>
      <c r="AT145" s="2074"/>
      <c r="AU145" s="2074"/>
      <c r="AV145" s="2074"/>
      <c r="AW145" s="2074"/>
      <c r="AX145" s="2075"/>
      <c r="AY145" s="971"/>
      <c r="AZ145" s="971"/>
      <c r="BA145" s="971"/>
      <c r="BB145" s="971"/>
      <c r="BC145" s="971"/>
      <c r="BD145" s="971"/>
      <c r="BE145" s="974"/>
    </row>
    <row r="146" spans="1:57" ht="15.75" customHeight="1">
      <c r="A146" s="971"/>
      <c r="B146" s="2073"/>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74"/>
      <c r="Z146" s="2074"/>
      <c r="AA146" s="2074"/>
      <c r="AB146" s="2074"/>
      <c r="AC146" s="2074"/>
      <c r="AD146" s="2074"/>
      <c r="AE146" s="2074"/>
      <c r="AF146" s="2074"/>
      <c r="AG146" s="2074"/>
      <c r="AH146" s="2074"/>
      <c r="AI146" s="2074"/>
      <c r="AJ146" s="2074"/>
      <c r="AK146" s="2074"/>
      <c r="AL146" s="2074"/>
      <c r="AM146" s="2074"/>
      <c r="AN146" s="2074"/>
      <c r="AO146" s="2074"/>
      <c r="AP146" s="2074"/>
      <c r="AQ146" s="2074"/>
      <c r="AR146" s="2074"/>
      <c r="AS146" s="2074"/>
      <c r="AT146" s="2074"/>
      <c r="AU146" s="2074"/>
      <c r="AV146" s="2074"/>
      <c r="AW146" s="2074"/>
      <c r="AX146" s="2075"/>
      <c r="AY146" s="971"/>
      <c r="AZ146" s="971"/>
      <c r="BA146" s="971"/>
      <c r="BB146" s="971"/>
      <c r="BC146" s="971"/>
      <c r="BD146" s="971"/>
      <c r="BE146" s="974"/>
    </row>
    <row r="147" spans="1:57" ht="15.75" customHeight="1">
      <c r="A147" s="971"/>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J147" s="2074"/>
      <c r="AK147" s="2074"/>
      <c r="AL147" s="2074"/>
      <c r="AM147" s="2074"/>
      <c r="AN147" s="2074"/>
      <c r="AO147" s="2074"/>
      <c r="AP147" s="2074"/>
      <c r="AQ147" s="2074"/>
      <c r="AR147" s="2074"/>
      <c r="AS147" s="2074"/>
      <c r="AT147" s="2074"/>
      <c r="AU147" s="2074"/>
      <c r="AV147" s="2074"/>
      <c r="AW147" s="2074"/>
      <c r="AX147" s="2075"/>
      <c r="AY147" s="971"/>
      <c r="AZ147" s="971"/>
      <c r="BA147" s="971"/>
      <c r="BB147" s="971"/>
      <c r="BC147" s="971"/>
      <c r="BD147" s="971"/>
      <c r="BE147" s="974"/>
    </row>
    <row r="148" spans="1:57" ht="15.75" customHeight="1">
      <c r="A148" s="971"/>
      <c r="B148" s="2073"/>
      <c r="C148" s="2074"/>
      <c r="D148" s="2074"/>
      <c r="E148" s="2074"/>
      <c r="F148" s="2074"/>
      <c r="G148" s="2074"/>
      <c r="H148" s="2074"/>
      <c r="I148" s="2074"/>
      <c r="J148" s="2074"/>
      <c r="K148" s="2074"/>
      <c r="L148" s="2074"/>
      <c r="M148" s="2074"/>
      <c r="N148" s="2074"/>
      <c r="O148" s="2074"/>
      <c r="P148" s="2074"/>
      <c r="Q148" s="2074"/>
      <c r="R148" s="2074"/>
      <c r="S148" s="2074"/>
      <c r="T148" s="2074"/>
      <c r="U148" s="2074"/>
      <c r="V148" s="2074"/>
      <c r="W148" s="2074"/>
      <c r="X148" s="2074"/>
      <c r="Y148" s="2074"/>
      <c r="Z148" s="2074"/>
      <c r="AA148" s="2074"/>
      <c r="AB148" s="2074"/>
      <c r="AC148" s="2074"/>
      <c r="AD148" s="2074"/>
      <c r="AE148" s="2074"/>
      <c r="AF148" s="2074"/>
      <c r="AG148" s="2074"/>
      <c r="AH148" s="2074"/>
      <c r="AI148" s="2074"/>
      <c r="AJ148" s="2074"/>
      <c r="AK148" s="2074"/>
      <c r="AL148" s="2074"/>
      <c r="AM148" s="2074"/>
      <c r="AN148" s="2074"/>
      <c r="AO148" s="2074"/>
      <c r="AP148" s="2074"/>
      <c r="AQ148" s="2074"/>
      <c r="AR148" s="2074"/>
      <c r="AS148" s="2074"/>
      <c r="AT148" s="2074"/>
      <c r="AU148" s="2074"/>
      <c r="AV148" s="2074"/>
      <c r="AW148" s="2074"/>
      <c r="AX148" s="2075"/>
      <c r="AY148" s="971"/>
      <c r="AZ148" s="971"/>
      <c r="BA148" s="971"/>
      <c r="BB148" s="971"/>
      <c r="BC148" s="971"/>
      <c r="BD148" s="971"/>
      <c r="BE148" s="974"/>
    </row>
    <row r="149" spans="1:57" ht="15.75" customHeight="1">
      <c r="A149" s="971"/>
      <c r="B149" s="2073"/>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74"/>
      <c r="Z149" s="2074"/>
      <c r="AA149" s="2074"/>
      <c r="AB149" s="2074"/>
      <c r="AC149" s="2074"/>
      <c r="AD149" s="2074"/>
      <c r="AE149" s="2074"/>
      <c r="AF149" s="2074"/>
      <c r="AG149" s="2074"/>
      <c r="AH149" s="2074"/>
      <c r="AI149" s="2074"/>
      <c r="AJ149" s="2074"/>
      <c r="AK149" s="2074"/>
      <c r="AL149" s="2074"/>
      <c r="AM149" s="2074"/>
      <c r="AN149" s="2074"/>
      <c r="AO149" s="2074"/>
      <c r="AP149" s="2074"/>
      <c r="AQ149" s="2074"/>
      <c r="AR149" s="2074"/>
      <c r="AS149" s="2074"/>
      <c r="AT149" s="2074"/>
      <c r="AU149" s="2074"/>
      <c r="AV149" s="2074"/>
      <c r="AW149" s="2074"/>
      <c r="AX149" s="2075"/>
      <c r="AY149" s="971"/>
      <c r="AZ149" s="971"/>
      <c r="BA149" s="971"/>
      <c r="BB149" s="971"/>
      <c r="BC149" s="971"/>
      <c r="BD149" s="971"/>
      <c r="BE149" s="974"/>
    </row>
    <row r="150" spans="1:57" ht="15.75" customHeight="1">
      <c r="A150" s="971"/>
      <c r="B150" s="2073"/>
      <c r="C150" s="2074"/>
      <c r="D150" s="2074"/>
      <c r="E150" s="2074"/>
      <c r="F150" s="2074"/>
      <c r="G150" s="2074"/>
      <c r="H150" s="2074"/>
      <c r="I150" s="2074"/>
      <c r="J150" s="2074"/>
      <c r="K150" s="2074"/>
      <c r="L150" s="2074"/>
      <c r="M150" s="2074"/>
      <c r="N150" s="2074"/>
      <c r="O150" s="2074"/>
      <c r="P150" s="2074"/>
      <c r="Q150" s="2074"/>
      <c r="R150" s="2074"/>
      <c r="S150" s="2074"/>
      <c r="T150" s="2074"/>
      <c r="U150" s="2074"/>
      <c r="V150" s="2074"/>
      <c r="W150" s="2074"/>
      <c r="X150" s="2074"/>
      <c r="Y150" s="2074"/>
      <c r="Z150" s="2074"/>
      <c r="AA150" s="2074"/>
      <c r="AB150" s="2074"/>
      <c r="AC150" s="2074"/>
      <c r="AD150" s="2074"/>
      <c r="AE150" s="2074"/>
      <c r="AF150" s="2074"/>
      <c r="AG150" s="2074"/>
      <c r="AH150" s="2074"/>
      <c r="AI150" s="2074"/>
      <c r="AJ150" s="2074"/>
      <c r="AK150" s="2074"/>
      <c r="AL150" s="2074"/>
      <c r="AM150" s="2074"/>
      <c r="AN150" s="2074"/>
      <c r="AO150" s="2074"/>
      <c r="AP150" s="2074"/>
      <c r="AQ150" s="2074"/>
      <c r="AR150" s="2074"/>
      <c r="AS150" s="2074"/>
      <c r="AT150" s="2074"/>
      <c r="AU150" s="2074"/>
      <c r="AV150" s="2074"/>
      <c r="AW150" s="2074"/>
      <c r="AX150" s="2075"/>
      <c r="AY150" s="971"/>
      <c r="AZ150" s="971"/>
      <c r="BA150" s="971"/>
      <c r="BB150" s="971"/>
      <c r="BC150" s="971"/>
      <c r="BD150" s="971"/>
      <c r="BE150" s="974"/>
    </row>
    <row r="151" spans="1:57" ht="15.75" customHeight="1">
      <c r="A151" s="971"/>
      <c r="B151" s="2073"/>
      <c r="C151" s="2074"/>
      <c r="D151" s="2074"/>
      <c r="E151" s="2074"/>
      <c r="F151" s="2074"/>
      <c r="G151" s="2074"/>
      <c r="H151" s="2074"/>
      <c r="I151" s="2074"/>
      <c r="J151" s="2074"/>
      <c r="K151" s="2074"/>
      <c r="L151" s="2074"/>
      <c r="M151" s="2074"/>
      <c r="N151" s="2074"/>
      <c r="O151" s="2074"/>
      <c r="P151" s="2074"/>
      <c r="Q151" s="2074"/>
      <c r="R151" s="2074"/>
      <c r="S151" s="2074"/>
      <c r="T151" s="2074"/>
      <c r="U151" s="2074"/>
      <c r="V151" s="2074"/>
      <c r="W151" s="2074"/>
      <c r="X151" s="2074"/>
      <c r="Y151" s="2074"/>
      <c r="Z151" s="2074"/>
      <c r="AA151" s="2074"/>
      <c r="AB151" s="2074"/>
      <c r="AC151" s="2074"/>
      <c r="AD151" s="2074"/>
      <c r="AE151" s="2074"/>
      <c r="AF151" s="2074"/>
      <c r="AG151" s="2074"/>
      <c r="AH151" s="2074"/>
      <c r="AI151" s="2074"/>
      <c r="AJ151" s="2074"/>
      <c r="AK151" s="2074"/>
      <c r="AL151" s="2074"/>
      <c r="AM151" s="2074"/>
      <c r="AN151" s="2074"/>
      <c r="AO151" s="2074"/>
      <c r="AP151" s="2074"/>
      <c r="AQ151" s="2074"/>
      <c r="AR151" s="2074"/>
      <c r="AS151" s="2074"/>
      <c r="AT151" s="2074"/>
      <c r="AU151" s="2074"/>
      <c r="AV151" s="2074"/>
      <c r="AW151" s="2074"/>
      <c r="AX151" s="2075"/>
      <c r="AY151" s="971"/>
      <c r="AZ151" s="971"/>
      <c r="BA151" s="971"/>
      <c r="BB151" s="971"/>
      <c r="BC151" s="971"/>
      <c r="BD151" s="971"/>
      <c r="BE151" s="974"/>
    </row>
    <row r="152" spans="1:57" ht="15.75" customHeight="1" thickBot="1">
      <c r="A152" s="971"/>
      <c r="B152" s="2076"/>
      <c r="C152" s="2077"/>
      <c r="D152" s="2077"/>
      <c r="E152" s="2077"/>
      <c r="F152" s="2077"/>
      <c r="G152" s="2077"/>
      <c r="H152" s="2077"/>
      <c r="I152" s="2077"/>
      <c r="J152" s="2077"/>
      <c r="K152" s="2077"/>
      <c r="L152" s="2077"/>
      <c r="M152" s="2077"/>
      <c r="N152" s="2077"/>
      <c r="O152" s="2077"/>
      <c r="P152" s="2077"/>
      <c r="Q152" s="2077"/>
      <c r="R152" s="2077"/>
      <c r="S152" s="2077"/>
      <c r="T152" s="2077"/>
      <c r="U152" s="2077"/>
      <c r="V152" s="2077"/>
      <c r="W152" s="2077"/>
      <c r="X152" s="2077"/>
      <c r="Y152" s="2077"/>
      <c r="Z152" s="2077"/>
      <c r="AA152" s="2077"/>
      <c r="AB152" s="2077"/>
      <c r="AC152" s="2077"/>
      <c r="AD152" s="2077"/>
      <c r="AE152" s="2077"/>
      <c r="AF152" s="2077"/>
      <c r="AG152" s="2077"/>
      <c r="AH152" s="2077"/>
      <c r="AI152" s="2077"/>
      <c r="AJ152" s="2077"/>
      <c r="AK152" s="2077"/>
      <c r="AL152" s="2077"/>
      <c r="AM152" s="2077"/>
      <c r="AN152" s="2077"/>
      <c r="AO152" s="2077"/>
      <c r="AP152" s="2077"/>
      <c r="AQ152" s="2077"/>
      <c r="AR152" s="2077"/>
      <c r="AS152" s="2077"/>
      <c r="AT152" s="2077"/>
      <c r="AU152" s="2077"/>
      <c r="AV152" s="2077"/>
      <c r="AW152" s="2077"/>
      <c r="AX152" s="2078"/>
      <c r="AY152" s="971"/>
      <c r="AZ152" s="971"/>
      <c r="BA152" s="971"/>
      <c r="BB152" s="971"/>
      <c r="BC152" s="971"/>
      <c r="BD152" s="971"/>
      <c r="BE152" s="974"/>
    </row>
    <row r="153" spans="1:57" ht="15.75" customHeight="1" thickBot="1">
      <c r="A153" s="971"/>
      <c r="B153" s="971"/>
      <c r="C153" s="971"/>
      <c r="D153" s="971"/>
      <c r="E153" s="971"/>
      <c r="F153" s="971"/>
      <c r="G153" s="971"/>
      <c r="H153" s="971"/>
      <c r="I153" s="971"/>
      <c r="J153" s="971"/>
      <c r="K153" s="971"/>
      <c r="L153" s="971"/>
      <c r="M153" s="971"/>
      <c r="N153" s="971"/>
      <c r="O153" s="971"/>
      <c r="P153" s="971"/>
      <c r="Q153" s="971"/>
      <c r="R153" s="971"/>
      <c r="S153" s="971"/>
      <c r="T153" s="971"/>
      <c r="U153" s="971"/>
      <c r="V153" s="971"/>
      <c r="W153" s="971"/>
      <c r="X153" s="971"/>
      <c r="Y153" s="971"/>
      <c r="Z153" s="971"/>
      <c r="AA153" s="971"/>
      <c r="AB153" s="971"/>
      <c r="AC153" s="971"/>
      <c r="AD153" s="971"/>
      <c r="AE153" s="971"/>
      <c r="AF153" s="971"/>
      <c r="AG153" s="971"/>
      <c r="AH153" s="971"/>
      <c r="AI153" s="971"/>
      <c r="AJ153" s="971"/>
      <c r="AK153" s="971"/>
      <c r="AL153" s="971"/>
      <c r="AM153" s="971"/>
      <c r="AN153" s="971"/>
      <c r="AO153" s="971"/>
      <c r="AP153" s="971"/>
      <c r="AQ153" s="971"/>
      <c r="AR153" s="971"/>
      <c r="AS153" s="971"/>
      <c r="AT153" s="971"/>
      <c r="AU153" s="971"/>
      <c r="AV153" s="971"/>
      <c r="AW153" s="971"/>
      <c r="AX153" s="971"/>
      <c r="AY153" s="971"/>
      <c r="AZ153" s="971"/>
      <c r="BA153" s="971"/>
      <c r="BB153" s="971"/>
      <c r="BC153" s="971"/>
      <c r="BD153" s="971"/>
      <c r="BE153" s="974"/>
    </row>
    <row r="154" spans="1:57" ht="15.75" customHeight="1" thickBot="1">
      <c r="A154" s="971"/>
      <c r="B154" s="989" t="s">
        <v>2003</v>
      </c>
      <c r="C154" s="990"/>
      <c r="D154" s="990"/>
      <c r="E154" s="990"/>
      <c r="F154" s="990"/>
      <c r="G154" s="990"/>
      <c r="H154" s="990"/>
      <c r="I154" s="990"/>
      <c r="J154" s="990"/>
      <c r="K154" s="990"/>
      <c r="L154" s="990"/>
      <c r="M154" s="991"/>
      <c r="N154" s="975"/>
      <c r="O154" s="975"/>
      <c r="P154" s="971"/>
      <c r="Q154" s="971"/>
      <c r="R154" s="971"/>
      <c r="S154" s="971"/>
      <c r="T154" s="971"/>
      <c r="U154" s="971" t="s">
        <v>254</v>
      </c>
      <c r="V154" s="971"/>
      <c r="W154" s="971"/>
      <c r="X154" s="989" t="s">
        <v>2004</v>
      </c>
      <c r="Y154" s="990"/>
      <c r="Z154" s="990"/>
      <c r="AA154" s="990"/>
      <c r="AB154" s="990"/>
      <c r="AC154" s="990"/>
      <c r="AD154" s="990"/>
      <c r="AE154" s="990"/>
      <c r="AF154" s="990"/>
      <c r="AG154" s="990"/>
      <c r="AH154" s="990"/>
      <c r="AI154" s="990"/>
      <c r="AJ154" s="990"/>
      <c r="AK154" s="984"/>
      <c r="AL154" s="984"/>
      <c r="AM154" s="985"/>
      <c r="AN154" s="971"/>
      <c r="AO154" s="971"/>
      <c r="AP154" s="971"/>
      <c r="AQ154" s="971"/>
      <c r="AR154" s="971"/>
      <c r="AS154" s="971"/>
      <c r="AT154" s="971"/>
      <c r="AU154" s="971"/>
      <c r="AV154" s="971"/>
      <c r="AW154" s="971"/>
      <c r="AX154" s="971"/>
      <c r="AY154" s="971"/>
      <c r="AZ154" s="971"/>
      <c r="BA154" s="971"/>
      <c r="BB154" s="971"/>
      <c r="BC154" s="971"/>
      <c r="BD154" s="971"/>
      <c r="BE154" s="974"/>
    </row>
    <row r="155" spans="1:57" ht="15.75" customHeight="1" thickBot="1">
      <c r="A155" s="971"/>
      <c r="B155" s="971"/>
      <c r="C155" s="971"/>
      <c r="D155" s="971"/>
      <c r="E155" s="971"/>
      <c r="F155" s="971"/>
      <c r="G155" s="971"/>
      <c r="H155" s="971"/>
      <c r="I155" s="971"/>
      <c r="J155" s="971"/>
      <c r="K155" s="971"/>
      <c r="L155" s="971"/>
      <c r="M155" s="971"/>
      <c r="N155" s="971"/>
      <c r="O155" s="971"/>
      <c r="P155" s="975"/>
      <c r="Q155" s="971"/>
      <c r="R155" s="971"/>
      <c r="S155" s="971"/>
      <c r="T155" s="971"/>
      <c r="U155" s="971"/>
      <c r="V155" s="971"/>
      <c r="W155" s="971"/>
      <c r="X155" s="971"/>
      <c r="Y155" s="971"/>
      <c r="Z155" s="971"/>
      <c r="AA155" s="971"/>
      <c r="AB155" s="971"/>
      <c r="AC155" s="971"/>
      <c r="AD155" s="971"/>
      <c r="AE155" s="971"/>
      <c r="AF155" s="971"/>
      <c r="AG155" s="971"/>
      <c r="AH155" s="971"/>
      <c r="AI155" s="971"/>
      <c r="AJ155" s="971"/>
      <c r="AK155" s="971"/>
      <c r="AL155" s="971"/>
      <c r="AM155" s="971"/>
      <c r="AN155" s="971"/>
      <c r="AO155" s="971"/>
      <c r="AP155" s="971"/>
      <c r="AQ155" s="971"/>
      <c r="AR155" s="971"/>
      <c r="AS155" s="971"/>
      <c r="AT155" s="971"/>
      <c r="AU155" s="971"/>
      <c r="AV155" s="971"/>
      <c r="AW155" s="971"/>
      <c r="AX155" s="971"/>
      <c r="AY155" s="971"/>
      <c r="AZ155" s="971"/>
      <c r="BA155" s="971"/>
      <c r="BB155" s="971"/>
      <c r="BC155" s="971"/>
      <c r="BD155" s="971"/>
      <c r="BE155" s="974"/>
    </row>
    <row r="156" spans="1:57" ht="15.75" customHeight="1">
      <c r="A156" s="971"/>
      <c r="B156" s="1933" t="s">
        <v>2005</v>
      </c>
      <c r="C156" s="1934"/>
      <c r="D156" s="1934"/>
      <c r="E156" s="1934"/>
      <c r="F156" s="1934"/>
      <c r="G156" s="1934"/>
      <c r="H156" s="1934"/>
      <c r="I156" s="1934"/>
      <c r="J156" s="1934"/>
      <c r="K156" s="1934"/>
      <c r="L156" s="1934"/>
      <c r="M156" s="1934"/>
      <c r="N156" s="1934"/>
      <c r="O156" s="1934"/>
      <c r="P156" s="1934"/>
      <c r="Q156" s="1934"/>
      <c r="R156" s="1934"/>
      <c r="S156" s="1934"/>
      <c r="T156" s="1934"/>
      <c r="U156" s="1935"/>
      <c r="V156" s="971"/>
      <c r="W156" s="972"/>
      <c r="X156" s="1933" t="s">
        <v>2006</v>
      </c>
      <c r="Y156" s="1934"/>
      <c r="Z156" s="1934"/>
      <c r="AA156" s="1934"/>
      <c r="AB156" s="1934"/>
      <c r="AC156" s="1934"/>
      <c r="AD156" s="1934"/>
      <c r="AE156" s="1934"/>
      <c r="AF156" s="1934"/>
      <c r="AG156" s="1934"/>
      <c r="AH156" s="1934"/>
      <c r="AI156" s="1934"/>
      <c r="AJ156" s="1934"/>
      <c r="AK156" s="1934"/>
      <c r="AL156" s="1934"/>
      <c r="AM156" s="1934"/>
      <c r="AN156" s="1934"/>
      <c r="AO156" s="1934"/>
      <c r="AP156" s="1934"/>
      <c r="AQ156" s="1935"/>
      <c r="AR156" s="971"/>
      <c r="AS156" s="971"/>
      <c r="AT156" s="971"/>
      <c r="AU156" s="971"/>
      <c r="AV156" s="971"/>
      <c r="AW156" s="971"/>
      <c r="AX156" s="971"/>
      <c r="AY156" s="971"/>
      <c r="AZ156" s="971"/>
      <c r="BA156" s="971"/>
      <c r="BB156" s="971"/>
      <c r="BC156" s="971"/>
      <c r="BD156" s="971"/>
      <c r="BE156" s="974"/>
    </row>
    <row r="157" spans="1:57" ht="15.75" customHeight="1">
      <c r="A157" s="971"/>
      <c r="B157" s="2081"/>
      <c r="C157" s="2082"/>
      <c r="D157" s="2082"/>
      <c r="E157" s="2082"/>
      <c r="F157" s="2082"/>
      <c r="G157" s="2082"/>
      <c r="H157" s="2082"/>
      <c r="I157" s="2083" t="s">
        <v>1971</v>
      </c>
      <c r="J157" s="2083"/>
      <c r="K157" s="2083"/>
      <c r="L157" s="2083"/>
      <c r="M157" s="2083"/>
      <c r="N157" s="2083"/>
      <c r="O157" s="2083"/>
      <c r="P157" s="2083" t="s">
        <v>2007</v>
      </c>
      <c r="Q157" s="2083"/>
      <c r="R157" s="2083"/>
      <c r="S157" s="2083"/>
      <c r="T157" s="2083"/>
      <c r="U157" s="2084"/>
      <c r="V157" s="971"/>
      <c r="W157" s="971"/>
      <c r="X157" s="2081"/>
      <c r="Y157" s="2082"/>
      <c r="Z157" s="2082"/>
      <c r="AA157" s="2082"/>
      <c r="AB157" s="2082"/>
      <c r="AC157" s="2082"/>
      <c r="AD157" s="2082"/>
      <c r="AE157" s="2083" t="s">
        <v>1971</v>
      </c>
      <c r="AF157" s="2083"/>
      <c r="AG157" s="2083"/>
      <c r="AH157" s="2083"/>
      <c r="AI157" s="2083"/>
      <c r="AJ157" s="2083"/>
      <c r="AK157" s="2083"/>
      <c r="AL157" s="2083" t="s">
        <v>1972</v>
      </c>
      <c r="AM157" s="2083"/>
      <c r="AN157" s="2083"/>
      <c r="AO157" s="2083"/>
      <c r="AP157" s="2083"/>
      <c r="AQ157" s="2084"/>
      <c r="AR157" s="971"/>
      <c r="AS157" s="971"/>
      <c r="AT157" s="971"/>
      <c r="AU157" s="971"/>
      <c r="AV157" s="971"/>
      <c r="AW157" s="971"/>
      <c r="AX157" s="971"/>
      <c r="AY157" s="971"/>
      <c r="AZ157" s="971"/>
      <c r="BA157" s="971"/>
      <c r="BB157" s="971"/>
      <c r="BC157" s="971"/>
      <c r="BD157" s="971"/>
      <c r="BE157" s="974"/>
    </row>
    <row r="158" spans="1:57" ht="15.75" customHeight="1">
      <c r="A158" s="971"/>
      <c r="B158" s="2081"/>
      <c r="C158" s="2082"/>
      <c r="D158" s="2082"/>
      <c r="E158" s="2082"/>
      <c r="F158" s="2082"/>
      <c r="G158" s="2082"/>
      <c r="H158" s="2082"/>
      <c r="I158" s="2083"/>
      <c r="J158" s="2083"/>
      <c r="K158" s="2083"/>
      <c r="L158" s="2083"/>
      <c r="M158" s="2083"/>
      <c r="N158" s="2083"/>
      <c r="O158" s="2083"/>
      <c r="P158" s="2083"/>
      <c r="Q158" s="2083"/>
      <c r="R158" s="2083"/>
      <c r="S158" s="2083"/>
      <c r="T158" s="2083"/>
      <c r="U158" s="2084"/>
      <c r="V158" s="971"/>
      <c r="W158" s="971"/>
      <c r="X158" s="2081"/>
      <c r="Y158" s="2082"/>
      <c r="Z158" s="2082"/>
      <c r="AA158" s="2082"/>
      <c r="AB158" s="2082"/>
      <c r="AC158" s="2082"/>
      <c r="AD158" s="2082"/>
      <c r="AE158" s="2083"/>
      <c r="AF158" s="2083"/>
      <c r="AG158" s="2083"/>
      <c r="AH158" s="2083"/>
      <c r="AI158" s="2083"/>
      <c r="AJ158" s="2083"/>
      <c r="AK158" s="2083"/>
      <c r="AL158" s="2083"/>
      <c r="AM158" s="2083"/>
      <c r="AN158" s="2083"/>
      <c r="AO158" s="2083"/>
      <c r="AP158" s="2083"/>
      <c r="AQ158" s="2084"/>
      <c r="AR158" s="971"/>
      <c r="AS158" s="971"/>
      <c r="AT158" s="971"/>
      <c r="AU158" s="971"/>
      <c r="AV158" s="971"/>
      <c r="AW158" s="971"/>
      <c r="AX158" s="971"/>
      <c r="AY158" s="971"/>
      <c r="AZ158" s="971"/>
      <c r="BA158" s="971"/>
      <c r="BB158" s="971"/>
      <c r="BC158" s="971"/>
      <c r="BD158" s="971"/>
      <c r="BE158" s="974"/>
    </row>
    <row r="159" spans="1:57" ht="15.75" customHeight="1" thickBot="1">
      <c r="A159" s="971"/>
      <c r="B159" s="2039" t="s">
        <v>1993</v>
      </c>
      <c r="C159" s="2040"/>
      <c r="D159" s="2040"/>
      <c r="E159" s="2040"/>
      <c r="F159" s="2040"/>
      <c r="G159" s="2040"/>
      <c r="H159" s="2040"/>
      <c r="I159" s="2013">
        <v>0</v>
      </c>
      <c r="J159" s="2013"/>
      <c r="K159" s="2013"/>
      <c r="L159" s="2013"/>
      <c r="M159" s="2013"/>
      <c r="N159" s="2013"/>
      <c r="O159" s="2013"/>
      <c r="P159" s="2013">
        <v>0</v>
      </c>
      <c r="Q159" s="2013"/>
      <c r="R159" s="2013"/>
      <c r="S159" s="2013"/>
      <c r="T159" s="2013"/>
      <c r="U159" s="2014"/>
      <c r="V159" s="971"/>
      <c r="W159" s="971"/>
      <c r="X159" s="2041" t="s">
        <v>1993</v>
      </c>
      <c r="Y159" s="2042"/>
      <c r="Z159" s="2042"/>
      <c r="AA159" s="2042"/>
      <c r="AB159" s="2042"/>
      <c r="AC159" s="2042"/>
      <c r="AD159" s="2042"/>
      <c r="AE159" s="2028">
        <v>0</v>
      </c>
      <c r="AF159" s="2028"/>
      <c r="AG159" s="2028"/>
      <c r="AH159" s="2028"/>
      <c r="AI159" s="2028"/>
      <c r="AJ159" s="2028"/>
      <c r="AK159" s="2028"/>
      <c r="AL159" s="2028">
        <v>0</v>
      </c>
      <c r="AM159" s="2028"/>
      <c r="AN159" s="2028"/>
      <c r="AO159" s="2028"/>
      <c r="AP159" s="2028"/>
      <c r="AQ159" s="2029"/>
      <c r="AR159" s="971"/>
      <c r="AS159" s="971"/>
      <c r="AT159" s="971"/>
      <c r="AU159" s="971"/>
      <c r="AV159" s="971"/>
      <c r="AW159" s="971"/>
      <c r="AX159" s="971"/>
      <c r="AY159" s="971"/>
      <c r="AZ159" s="971"/>
      <c r="BA159" s="971"/>
      <c r="BB159" s="971"/>
      <c r="BC159" s="971"/>
      <c r="BD159" s="971"/>
      <c r="BE159" s="974"/>
    </row>
    <row r="160" spans="1:57" ht="15.75" customHeight="1" thickBot="1">
      <c r="A160" s="971"/>
      <c r="B160" s="2041" t="s">
        <v>1994</v>
      </c>
      <c r="C160" s="2042"/>
      <c r="D160" s="2042"/>
      <c r="E160" s="2042"/>
      <c r="F160" s="2042"/>
      <c r="G160" s="2042"/>
      <c r="H160" s="2042"/>
      <c r="I160" s="2028">
        <v>0</v>
      </c>
      <c r="J160" s="2028"/>
      <c r="K160" s="2028"/>
      <c r="L160" s="2028"/>
      <c r="M160" s="2028"/>
      <c r="N160" s="2028"/>
      <c r="O160" s="2028"/>
      <c r="P160" s="2028">
        <v>0</v>
      </c>
      <c r="Q160" s="2028"/>
      <c r="R160" s="2028"/>
      <c r="S160" s="2028"/>
      <c r="T160" s="2028"/>
      <c r="U160" s="2029"/>
      <c r="V160" s="971"/>
      <c r="W160" s="971"/>
      <c r="X160" s="971"/>
      <c r="Y160" s="971"/>
      <c r="Z160" s="971"/>
      <c r="AA160" s="971"/>
      <c r="AB160" s="971"/>
      <c r="AC160" s="971"/>
      <c r="AD160" s="971"/>
      <c r="AE160" s="971"/>
      <c r="AF160" s="971"/>
      <c r="AG160" s="971"/>
      <c r="AH160" s="971"/>
      <c r="AI160" s="971"/>
      <c r="AJ160" s="971"/>
      <c r="AK160" s="971"/>
      <c r="AL160" s="971"/>
      <c r="AM160" s="971"/>
      <c r="AN160" s="971"/>
      <c r="AO160" s="971"/>
      <c r="AP160" s="971"/>
      <c r="AQ160" s="971"/>
      <c r="AR160" s="971"/>
      <c r="AS160" s="971"/>
      <c r="AT160" s="971"/>
      <c r="AU160" s="971"/>
      <c r="AV160" s="971"/>
      <c r="AW160" s="971"/>
      <c r="AX160" s="971"/>
      <c r="AY160" s="971"/>
      <c r="AZ160" s="971"/>
      <c r="BA160" s="971"/>
      <c r="BB160" s="971"/>
      <c r="BC160" s="971"/>
      <c r="BD160" s="971"/>
      <c r="BE160" s="974"/>
    </row>
    <row r="161" spans="1:57" ht="15.75" customHeight="1" thickBot="1">
      <c r="A161" s="971"/>
      <c r="B161" s="971"/>
      <c r="C161" s="971"/>
      <c r="D161" s="971"/>
      <c r="E161" s="971"/>
      <c r="F161" s="971"/>
      <c r="G161" s="971"/>
      <c r="H161" s="971"/>
      <c r="I161" s="971"/>
      <c r="J161" s="971"/>
      <c r="K161" s="971"/>
      <c r="L161" s="971"/>
      <c r="M161" s="971"/>
      <c r="N161" s="971"/>
      <c r="O161" s="971"/>
      <c r="P161" s="971"/>
      <c r="Q161" s="971"/>
      <c r="R161" s="971"/>
      <c r="S161" s="971"/>
      <c r="T161" s="971"/>
      <c r="U161" s="971"/>
      <c r="V161" s="971"/>
      <c r="W161" s="971"/>
      <c r="X161" s="971"/>
      <c r="Y161" s="971"/>
      <c r="Z161" s="971"/>
      <c r="AA161" s="971"/>
      <c r="AB161" s="971"/>
      <c r="AC161" s="971"/>
      <c r="AD161" s="971"/>
      <c r="AE161" s="971"/>
      <c r="AF161" s="971"/>
      <c r="AG161" s="971"/>
      <c r="AH161" s="971"/>
      <c r="AI161" s="971"/>
      <c r="AJ161" s="971"/>
      <c r="AK161" s="971"/>
      <c r="AL161" s="971"/>
      <c r="AM161" s="971"/>
      <c r="AN161" s="971"/>
      <c r="AO161" s="971"/>
      <c r="AP161" s="971"/>
      <c r="AQ161" s="971"/>
      <c r="AR161" s="971"/>
      <c r="AS161" s="971"/>
      <c r="AT161" s="971"/>
      <c r="AU161" s="971"/>
      <c r="AV161" s="971"/>
      <c r="AW161" s="971"/>
      <c r="AX161" s="971"/>
      <c r="AY161" s="971"/>
      <c r="AZ161" s="971"/>
      <c r="BA161" s="971"/>
      <c r="BB161" s="971"/>
      <c r="BC161" s="971"/>
      <c r="BD161" s="971"/>
      <c r="BE161" s="974"/>
    </row>
    <row r="162" spans="1:57" ht="15.75" customHeight="1">
      <c r="A162" s="971"/>
      <c r="B162" s="971"/>
      <c r="C162" s="1933" t="s">
        <v>2008</v>
      </c>
      <c r="D162" s="1934"/>
      <c r="E162" s="1934"/>
      <c r="F162" s="1934"/>
      <c r="G162" s="1934"/>
      <c r="H162" s="1934"/>
      <c r="I162" s="1934"/>
      <c r="J162" s="1934"/>
      <c r="K162" s="1934"/>
      <c r="L162" s="1934"/>
      <c r="M162" s="1934"/>
      <c r="N162" s="1934"/>
      <c r="O162" s="1934"/>
      <c r="P162" s="1934"/>
      <c r="Q162" s="1934"/>
      <c r="R162" s="1934"/>
      <c r="S162" s="1934"/>
      <c r="T162" s="1934"/>
      <c r="U162" s="1934"/>
      <c r="V162" s="1934"/>
      <c r="W162" s="1934"/>
      <c r="X162" s="1934"/>
      <c r="Y162" s="1934"/>
      <c r="Z162" s="1934"/>
      <c r="AA162" s="1934"/>
      <c r="AB162" s="1934"/>
      <c r="AC162" s="1934"/>
      <c r="AD162" s="1934"/>
      <c r="AE162" s="1934"/>
      <c r="AF162" s="1934"/>
      <c r="AG162" s="1935"/>
      <c r="AH162" s="971"/>
      <c r="AI162" s="971"/>
      <c r="AJ162" s="971"/>
      <c r="AK162" s="971"/>
      <c r="AL162" s="971"/>
      <c r="AM162" s="971"/>
      <c r="AN162" s="971"/>
      <c r="AO162" s="971"/>
      <c r="AP162" s="971"/>
      <c r="AQ162" s="971"/>
      <c r="AR162" s="971"/>
      <c r="AS162" s="971"/>
      <c r="AT162" s="971"/>
      <c r="AU162" s="971"/>
      <c r="AV162" s="971"/>
      <c r="AW162" s="971"/>
      <c r="AX162" s="971"/>
      <c r="AY162" s="971"/>
      <c r="AZ162" s="971"/>
      <c r="BA162" s="971"/>
      <c r="BB162" s="971"/>
      <c r="BC162" s="971"/>
      <c r="BD162" s="971"/>
      <c r="BE162" s="974"/>
    </row>
    <row r="163" spans="1:57" ht="15.75" customHeight="1">
      <c r="A163" s="971"/>
      <c r="B163" s="971"/>
      <c r="C163" s="2081" t="s">
        <v>2009</v>
      </c>
      <c r="D163" s="2082"/>
      <c r="E163" s="2082"/>
      <c r="F163" s="2082"/>
      <c r="G163" s="2082"/>
      <c r="H163" s="2082"/>
      <c r="I163" s="2082"/>
      <c r="J163" s="2082"/>
      <c r="K163" s="2082"/>
      <c r="L163" s="2082"/>
      <c r="M163" s="2082"/>
      <c r="N163" s="2082"/>
      <c r="O163" s="2082"/>
      <c r="P163" s="2082"/>
      <c r="Q163" s="2082" t="s">
        <v>2010</v>
      </c>
      <c r="R163" s="2082"/>
      <c r="S163" s="2082"/>
      <c r="T163" s="2024" t="s">
        <v>2011</v>
      </c>
      <c r="U163" s="2024"/>
      <c r="V163" s="2024"/>
      <c r="W163" s="2024"/>
      <c r="X163" s="2024"/>
      <c r="Y163" s="2024"/>
      <c r="Z163" s="2024"/>
      <c r="AA163" s="2024"/>
      <c r="AB163" s="2082" t="s">
        <v>2012</v>
      </c>
      <c r="AC163" s="2082"/>
      <c r="AD163" s="2082"/>
      <c r="AE163" s="2082"/>
      <c r="AF163" s="2082"/>
      <c r="AG163" s="2090"/>
      <c r="AH163" s="971"/>
      <c r="AI163" s="971"/>
      <c r="AJ163" s="971"/>
      <c r="AK163" s="971"/>
      <c r="AL163" s="971"/>
      <c r="AM163" s="971"/>
      <c r="AN163" s="971"/>
      <c r="AO163" s="971"/>
      <c r="AP163" s="971"/>
      <c r="AQ163" s="971"/>
      <c r="AR163" s="971"/>
      <c r="AS163" s="971"/>
      <c r="AT163" s="971"/>
      <c r="AU163" s="971"/>
      <c r="AV163" s="971"/>
      <c r="AW163" s="971"/>
      <c r="AX163" s="971"/>
      <c r="AY163" s="971"/>
      <c r="AZ163" s="971"/>
      <c r="BA163" s="971"/>
      <c r="BB163" s="971"/>
      <c r="BC163" s="971"/>
      <c r="BD163" s="971"/>
      <c r="BE163" s="974"/>
    </row>
    <row r="164" spans="1:57" ht="15.75" customHeight="1">
      <c r="A164" s="971"/>
      <c r="B164" s="971"/>
      <c r="C164" s="2085" t="s">
        <v>2013</v>
      </c>
      <c r="D164" s="2086"/>
      <c r="E164" s="2086"/>
      <c r="F164" s="2086"/>
      <c r="G164" s="2086"/>
      <c r="H164" s="2086"/>
      <c r="I164" s="2086"/>
      <c r="J164" s="2086"/>
      <c r="K164" s="2086"/>
      <c r="L164" s="2086"/>
      <c r="M164" s="2086"/>
      <c r="N164" s="2086"/>
      <c r="O164" s="2086"/>
      <c r="P164" s="2086"/>
      <c r="Q164" s="2087">
        <v>55</v>
      </c>
      <c r="R164" s="2087"/>
      <c r="S164" s="2087"/>
      <c r="T164" s="2088"/>
      <c r="U164" s="2088"/>
      <c r="V164" s="2088"/>
      <c r="W164" s="2088"/>
      <c r="X164" s="2088"/>
      <c r="Y164" s="2088"/>
      <c r="Z164" s="2088"/>
      <c r="AA164" s="2088"/>
      <c r="AB164" s="1006"/>
      <c r="AC164" s="1006"/>
      <c r="AD164" s="1006"/>
      <c r="AE164" s="1006"/>
      <c r="AF164" s="1006"/>
      <c r="AG164" s="1007"/>
      <c r="AH164" s="971"/>
      <c r="AI164" s="971"/>
      <c r="AJ164" s="971"/>
      <c r="AK164" s="971"/>
      <c r="AL164" s="971"/>
      <c r="AM164" s="971"/>
      <c r="AN164" s="971"/>
      <c r="AO164" s="971"/>
      <c r="AP164" s="971" t="s">
        <v>254</v>
      </c>
      <c r="AQ164" s="971"/>
      <c r="AR164" s="971"/>
      <c r="AS164" s="971"/>
      <c r="AT164" s="971"/>
      <c r="AU164" s="971"/>
      <c r="AV164" s="971"/>
      <c r="AW164" s="971"/>
      <c r="AX164" s="971"/>
      <c r="AY164" s="971"/>
      <c r="AZ164" s="971"/>
      <c r="BA164" s="971"/>
      <c r="BB164" s="971"/>
      <c r="BC164" s="971"/>
      <c r="BD164" s="971"/>
      <c r="BE164" s="974"/>
    </row>
    <row r="165" spans="1:57" ht="15.75" customHeight="1">
      <c r="A165" s="971"/>
      <c r="B165" s="971"/>
      <c r="C165" s="2085" t="s">
        <v>2014</v>
      </c>
      <c r="D165" s="2086"/>
      <c r="E165" s="2086"/>
      <c r="F165" s="2086"/>
      <c r="G165" s="2086"/>
      <c r="H165" s="2086"/>
      <c r="I165" s="2086"/>
      <c r="J165" s="2086"/>
      <c r="K165" s="2086"/>
      <c r="L165" s="2086"/>
      <c r="M165" s="2086"/>
      <c r="N165" s="2086"/>
      <c r="O165" s="2086"/>
      <c r="P165" s="2086"/>
      <c r="Q165" s="2087">
        <v>55</v>
      </c>
      <c r="R165" s="2087"/>
      <c r="S165" s="2087"/>
      <c r="T165" s="2089"/>
      <c r="U165" s="2089"/>
      <c r="V165" s="2089"/>
      <c r="W165" s="2089"/>
      <c r="X165" s="2089"/>
      <c r="Y165" s="2089"/>
      <c r="Z165" s="2089"/>
      <c r="AA165" s="2089"/>
      <c r="AB165" s="1006"/>
      <c r="AC165" s="1006"/>
      <c r="AD165" s="1006"/>
      <c r="AE165" s="1006"/>
      <c r="AF165" s="1006"/>
      <c r="AG165" s="1007"/>
      <c r="AH165" s="971"/>
      <c r="AI165" s="971"/>
      <c r="AJ165" s="971"/>
      <c r="AK165" s="971"/>
      <c r="AL165" s="971"/>
      <c r="AM165" s="971"/>
      <c r="AN165" s="971"/>
      <c r="AO165" s="971"/>
      <c r="AP165" s="971"/>
      <c r="AQ165" s="971"/>
      <c r="AR165" s="971"/>
      <c r="AS165" s="971"/>
      <c r="AT165" s="971"/>
      <c r="AU165" s="971"/>
      <c r="AV165" s="971"/>
      <c r="AW165" s="971"/>
      <c r="AX165" s="971"/>
      <c r="AY165" s="971"/>
      <c r="AZ165" s="971"/>
      <c r="BA165" s="971"/>
      <c r="BB165" s="971"/>
      <c r="BC165" s="971"/>
      <c r="BD165" s="971"/>
      <c r="BE165" s="974"/>
    </row>
    <row r="166" spans="1:57" ht="15.75" customHeight="1">
      <c r="A166" s="971"/>
      <c r="B166" s="971"/>
      <c r="C166" s="2085" t="s">
        <v>2015</v>
      </c>
      <c r="D166" s="2086"/>
      <c r="E166" s="2086"/>
      <c r="F166" s="2086"/>
      <c r="G166" s="2086"/>
      <c r="H166" s="2086"/>
      <c r="I166" s="2086"/>
      <c r="J166" s="2086"/>
      <c r="K166" s="2086"/>
      <c r="L166" s="2086"/>
      <c r="M166" s="2086"/>
      <c r="N166" s="2086"/>
      <c r="O166" s="2086"/>
      <c r="P166" s="2086"/>
      <c r="Q166" s="2087">
        <v>55</v>
      </c>
      <c r="R166" s="2087"/>
      <c r="S166" s="2087"/>
      <c r="T166" s="2088"/>
      <c r="U166" s="2088"/>
      <c r="V166" s="2088"/>
      <c r="W166" s="2088"/>
      <c r="X166" s="2088"/>
      <c r="Y166" s="2088"/>
      <c r="Z166" s="2088"/>
      <c r="AA166" s="2088"/>
      <c r="AB166" s="1006"/>
      <c r="AC166" s="1006"/>
      <c r="AD166" s="1006"/>
      <c r="AE166" s="1006"/>
      <c r="AF166" s="1006"/>
      <c r="AG166" s="1007"/>
      <c r="AH166" s="971"/>
      <c r="AI166" s="971"/>
      <c r="AJ166" s="971"/>
      <c r="AK166" s="971"/>
      <c r="AL166" s="971"/>
      <c r="AM166" s="971"/>
      <c r="AN166" s="971"/>
      <c r="AO166" s="971"/>
      <c r="AP166" s="971"/>
      <c r="AQ166" s="971"/>
      <c r="AR166" s="971"/>
      <c r="AS166" s="971"/>
      <c r="AT166" s="971"/>
      <c r="AU166" s="971"/>
      <c r="AV166" s="971"/>
      <c r="AW166" s="971"/>
      <c r="AX166" s="971"/>
      <c r="AY166" s="971"/>
      <c r="AZ166" s="971"/>
      <c r="BA166" s="971"/>
      <c r="BB166" s="971"/>
      <c r="BC166" s="971"/>
      <c r="BD166" s="971"/>
      <c r="BE166" s="974"/>
    </row>
    <row r="167" spans="1:57" ht="15.75" customHeight="1">
      <c r="A167" s="971"/>
      <c r="B167" s="971"/>
      <c r="C167" s="2085" t="s">
        <v>1935</v>
      </c>
      <c r="D167" s="2086"/>
      <c r="E167" s="2086"/>
      <c r="F167" s="2086"/>
      <c r="G167" s="2086"/>
      <c r="H167" s="2086"/>
      <c r="I167" s="2086"/>
      <c r="J167" s="2086"/>
      <c r="K167" s="2086"/>
      <c r="L167" s="2086"/>
      <c r="M167" s="2086"/>
      <c r="N167" s="2086"/>
      <c r="O167" s="2086"/>
      <c r="P167" s="2086"/>
      <c r="Q167" s="2087">
        <v>55</v>
      </c>
      <c r="R167" s="2087"/>
      <c r="S167" s="2087"/>
      <c r="T167" s="2088"/>
      <c r="U167" s="2088"/>
      <c r="V167" s="2088"/>
      <c r="W167" s="2088"/>
      <c r="X167" s="2088"/>
      <c r="Y167" s="2088"/>
      <c r="Z167" s="2088"/>
      <c r="AA167" s="2088"/>
      <c r="AB167" s="2091">
        <v>0</v>
      </c>
      <c r="AC167" s="2091"/>
      <c r="AD167" s="2091"/>
      <c r="AE167" s="2091"/>
      <c r="AF167" s="2091"/>
      <c r="AG167" s="2092"/>
      <c r="AH167" s="971"/>
      <c r="AI167" s="971"/>
      <c r="AJ167" s="971"/>
      <c r="AK167" s="971"/>
      <c r="AL167" s="971"/>
      <c r="AM167" s="971"/>
      <c r="AN167" s="971"/>
      <c r="AO167" s="971"/>
      <c r="AP167" s="971"/>
      <c r="AQ167" s="971"/>
      <c r="AR167" s="971"/>
      <c r="AS167" s="971"/>
      <c r="AT167" s="971"/>
      <c r="AU167" s="971"/>
      <c r="AV167" s="971"/>
      <c r="AW167" s="971"/>
      <c r="AX167" s="971"/>
      <c r="AY167" s="971"/>
      <c r="AZ167" s="971"/>
      <c r="BA167" s="971"/>
      <c r="BB167" s="971"/>
      <c r="BC167" s="971"/>
      <c r="BD167" s="971"/>
      <c r="BE167" s="974"/>
    </row>
    <row r="168" spans="1:57" ht="15.75" customHeight="1">
      <c r="A168" s="971"/>
      <c r="B168" s="971"/>
      <c r="C168" s="2085" t="s">
        <v>233</v>
      </c>
      <c r="D168" s="2086"/>
      <c r="E168" s="2086"/>
      <c r="F168" s="2093" t="s">
        <v>2016</v>
      </c>
      <c r="G168" s="2093"/>
      <c r="H168" s="2093"/>
      <c r="I168" s="2093"/>
      <c r="J168" s="2093"/>
      <c r="K168" s="2093"/>
      <c r="L168" s="2093"/>
      <c r="M168" s="2093"/>
      <c r="N168" s="2093"/>
      <c r="O168" s="2093"/>
      <c r="P168" s="2093"/>
      <c r="Q168" s="2087">
        <v>55</v>
      </c>
      <c r="R168" s="2087"/>
      <c r="S168" s="2087"/>
      <c r="T168" s="2089"/>
      <c r="U168" s="2089"/>
      <c r="V168" s="2089"/>
      <c r="W168" s="2089"/>
      <c r="X168" s="2089"/>
      <c r="Y168" s="2089"/>
      <c r="Z168" s="2089"/>
      <c r="AA168" s="2089"/>
      <c r="AB168" s="2091">
        <v>0</v>
      </c>
      <c r="AC168" s="2091"/>
      <c r="AD168" s="2091"/>
      <c r="AE168" s="2091"/>
      <c r="AF168" s="2091"/>
      <c r="AG168" s="2092"/>
      <c r="AH168" s="971"/>
      <c r="AI168" s="971"/>
      <c r="AJ168" s="971"/>
      <c r="AK168" s="971"/>
      <c r="AL168" s="971"/>
      <c r="AM168" s="971"/>
      <c r="AN168" s="971"/>
      <c r="AO168" s="971"/>
      <c r="AP168" s="971"/>
      <c r="AQ168" s="971"/>
      <c r="AR168" s="971"/>
      <c r="AS168" s="971"/>
      <c r="AT168" s="971"/>
      <c r="AU168" s="971"/>
      <c r="AV168" s="971"/>
      <c r="AW168" s="971"/>
      <c r="AX168" s="971"/>
      <c r="AY168" s="971"/>
      <c r="AZ168" s="971"/>
      <c r="BA168" s="971"/>
      <c r="BB168" s="971"/>
      <c r="BC168" s="971"/>
      <c r="BD168" s="971"/>
      <c r="BE168" s="974"/>
    </row>
    <row r="169" spans="1:57" ht="15.75" customHeight="1">
      <c r="A169" s="971"/>
      <c r="B169" s="971"/>
      <c r="C169" s="2085" t="s">
        <v>233</v>
      </c>
      <c r="D169" s="2086"/>
      <c r="E169" s="2086"/>
      <c r="F169" s="2093" t="s">
        <v>2016</v>
      </c>
      <c r="G169" s="2093"/>
      <c r="H169" s="2093"/>
      <c r="I169" s="2093"/>
      <c r="J169" s="2093"/>
      <c r="K169" s="2093"/>
      <c r="L169" s="2093"/>
      <c r="M169" s="2093"/>
      <c r="N169" s="2093"/>
      <c r="O169" s="2093"/>
      <c r="P169" s="2093"/>
      <c r="Q169" s="2087">
        <v>55</v>
      </c>
      <c r="R169" s="2087"/>
      <c r="S169" s="2087"/>
      <c r="T169" s="2089"/>
      <c r="U169" s="2089"/>
      <c r="V169" s="2089"/>
      <c r="W169" s="2089"/>
      <c r="X169" s="2089"/>
      <c r="Y169" s="2089"/>
      <c r="Z169" s="2089"/>
      <c r="AA169" s="2089"/>
      <c r="AB169" s="2091">
        <v>0</v>
      </c>
      <c r="AC169" s="2091"/>
      <c r="AD169" s="2091"/>
      <c r="AE169" s="2091"/>
      <c r="AF169" s="2091"/>
      <c r="AG169" s="2092"/>
      <c r="AH169" s="971"/>
      <c r="AI169" s="971"/>
      <c r="AJ169" s="971"/>
      <c r="AK169" s="971" t="s">
        <v>254</v>
      </c>
      <c r="AL169" s="971"/>
      <c r="AM169" s="971"/>
      <c r="AN169" s="971"/>
      <c r="AO169" s="971"/>
      <c r="AP169" s="971"/>
      <c r="AQ169" s="971"/>
      <c r="AR169" s="971"/>
      <c r="AS169" s="971"/>
      <c r="AT169" s="971"/>
      <c r="AU169" s="971"/>
      <c r="AV169" s="971"/>
      <c r="AW169" s="971"/>
      <c r="AX169" s="971"/>
      <c r="AY169" s="971"/>
      <c r="AZ169" s="971"/>
      <c r="BA169" s="971"/>
      <c r="BB169" s="971"/>
      <c r="BC169" s="971"/>
      <c r="BD169" s="971"/>
      <c r="BE169" s="974"/>
    </row>
    <row r="170" spans="1:57" ht="15.75" customHeight="1" thickBot="1">
      <c r="A170" s="971"/>
      <c r="B170" s="971"/>
      <c r="C170" s="2094" t="s">
        <v>233</v>
      </c>
      <c r="D170" s="2095"/>
      <c r="E170" s="2095"/>
      <c r="F170" s="2096" t="s">
        <v>2016</v>
      </c>
      <c r="G170" s="2096"/>
      <c r="H170" s="2096"/>
      <c r="I170" s="2096"/>
      <c r="J170" s="2096"/>
      <c r="K170" s="2096"/>
      <c r="L170" s="2096"/>
      <c r="M170" s="2096"/>
      <c r="N170" s="2096"/>
      <c r="O170" s="2096"/>
      <c r="P170" s="2096"/>
      <c r="Q170" s="2097">
        <v>55</v>
      </c>
      <c r="R170" s="2097"/>
      <c r="S170" s="2097"/>
      <c r="T170" s="2098"/>
      <c r="U170" s="2098"/>
      <c r="V170" s="2098"/>
      <c r="W170" s="2098"/>
      <c r="X170" s="2098"/>
      <c r="Y170" s="2098"/>
      <c r="Z170" s="2098"/>
      <c r="AA170" s="2098"/>
      <c r="AB170" s="2099">
        <v>0</v>
      </c>
      <c r="AC170" s="2099"/>
      <c r="AD170" s="2099"/>
      <c r="AE170" s="2099"/>
      <c r="AF170" s="2099"/>
      <c r="AG170" s="2100"/>
      <c r="AH170" s="971"/>
      <c r="AI170" s="971"/>
      <c r="AJ170" s="971"/>
      <c r="AK170" s="971"/>
      <c r="AL170" s="971"/>
      <c r="AM170" s="971"/>
      <c r="AN170" s="971"/>
      <c r="AO170" s="971"/>
      <c r="AP170" s="971"/>
      <c r="AQ170" s="971"/>
      <c r="AR170" s="971"/>
      <c r="AS170" s="971"/>
      <c r="AT170" s="971"/>
      <c r="AU170" s="971"/>
      <c r="AV170" s="971"/>
      <c r="AW170" s="971"/>
      <c r="AX170" s="971"/>
      <c r="AY170" s="971"/>
      <c r="AZ170" s="971"/>
      <c r="BA170" s="971"/>
      <c r="BB170" s="971"/>
      <c r="BC170" s="971"/>
      <c r="BD170" s="971"/>
      <c r="BE170" s="974"/>
    </row>
    <row r="171" spans="1:57" ht="15.75" customHeight="1" thickBot="1">
      <c r="A171" s="971"/>
      <c r="B171" s="971"/>
      <c r="C171" s="971"/>
      <c r="D171" s="971"/>
      <c r="E171" s="971"/>
      <c r="F171" s="971"/>
      <c r="G171" s="971"/>
      <c r="H171" s="971"/>
      <c r="I171" s="971"/>
      <c r="J171" s="971"/>
      <c r="K171" s="971"/>
      <c r="L171" s="971"/>
      <c r="M171" s="971"/>
      <c r="N171" s="971"/>
      <c r="O171" s="971"/>
      <c r="P171" s="971"/>
      <c r="Q171" s="971"/>
      <c r="R171" s="971"/>
      <c r="S171" s="971"/>
      <c r="T171" s="971"/>
      <c r="U171" s="971"/>
      <c r="V171" s="971"/>
      <c r="W171" s="971"/>
      <c r="X171" s="971"/>
      <c r="Y171" s="971"/>
      <c r="Z171" s="971"/>
      <c r="AA171" s="971"/>
      <c r="AB171" s="971"/>
      <c r="AC171" s="971"/>
      <c r="AD171" s="971"/>
      <c r="AE171" s="971"/>
      <c r="AF171" s="971"/>
      <c r="AG171" s="971"/>
      <c r="AH171" s="971"/>
      <c r="AI171" s="971"/>
      <c r="AJ171" s="971"/>
      <c r="AK171" s="971"/>
      <c r="AL171" s="971"/>
      <c r="AM171" s="971"/>
      <c r="AN171" s="971"/>
      <c r="AO171" s="971"/>
      <c r="AP171" s="971"/>
      <c r="AQ171" s="971"/>
      <c r="AR171" s="971"/>
      <c r="AS171" s="971"/>
      <c r="AT171" s="971"/>
      <c r="AU171" s="971"/>
      <c r="AV171" s="971"/>
      <c r="AW171" s="971"/>
      <c r="AX171" s="971"/>
      <c r="AY171" s="971"/>
      <c r="AZ171" s="971"/>
      <c r="BA171" s="971"/>
      <c r="BB171" s="971"/>
      <c r="BC171" s="971"/>
      <c r="BD171" s="971"/>
      <c r="BE171" s="974"/>
    </row>
    <row r="172" spans="1:57" ht="15.75" customHeight="1">
      <c r="A172" s="971"/>
      <c r="B172" s="971"/>
      <c r="C172" s="1982" t="s">
        <v>2017</v>
      </c>
      <c r="D172" s="1983"/>
      <c r="E172" s="1983"/>
      <c r="F172" s="1983"/>
      <c r="G172" s="1983"/>
      <c r="H172" s="1983"/>
      <c r="I172" s="1983"/>
      <c r="J172" s="1983"/>
      <c r="K172" s="1983"/>
      <c r="L172" s="1983"/>
      <c r="M172" s="1983"/>
      <c r="N172" s="2033"/>
      <c r="O172" s="971"/>
      <c r="P172" s="2101" t="s">
        <v>2018</v>
      </c>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c r="AN172" s="2102"/>
      <c r="AO172" s="2103"/>
      <c r="AP172" s="971"/>
      <c r="AQ172" s="971"/>
      <c r="AR172" s="971"/>
      <c r="AS172" s="971"/>
      <c r="AT172" s="971"/>
      <c r="AU172" s="971"/>
      <c r="AV172" s="971"/>
      <c r="AW172" s="971"/>
      <c r="AX172" s="971"/>
      <c r="AY172" s="971"/>
      <c r="AZ172" s="971"/>
      <c r="BA172" s="971"/>
      <c r="BB172" s="971"/>
      <c r="BC172" s="971"/>
      <c r="BD172" s="971"/>
      <c r="BE172" s="974"/>
    </row>
    <row r="173" spans="1:57" ht="15.75" customHeight="1">
      <c r="A173" s="971"/>
      <c r="B173" s="971"/>
      <c r="C173" s="2081" t="s">
        <v>2019</v>
      </c>
      <c r="D173" s="2082"/>
      <c r="E173" s="2082"/>
      <c r="F173" s="2082"/>
      <c r="G173" s="2082"/>
      <c r="H173" s="2082"/>
      <c r="I173" s="2082" t="s">
        <v>2020</v>
      </c>
      <c r="J173" s="2082"/>
      <c r="K173" s="2082"/>
      <c r="L173" s="2082"/>
      <c r="M173" s="2082"/>
      <c r="N173" s="2090"/>
      <c r="O173" s="971"/>
      <c r="P173" s="2002" t="s">
        <v>1962</v>
      </c>
      <c r="Q173" s="2003"/>
      <c r="R173" s="2003"/>
      <c r="S173" s="2003"/>
      <c r="T173" s="2003"/>
      <c r="U173" s="2003"/>
      <c r="V173" s="2003"/>
      <c r="W173" s="2003"/>
      <c r="X173" s="2003"/>
      <c r="Y173" s="2003"/>
      <c r="Z173" s="2003"/>
      <c r="AA173" s="2003"/>
      <c r="AB173" s="2003"/>
      <c r="AC173" s="2003"/>
      <c r="AD173" s="2003"/>
      <c r="AE173" s="2003"/>
      <c r="AF173" s="2003"/>
      <c r="AG173" s="2003"/>
      <c r="AH173" s="2003"/>
      <c r="AI173" s="2003"/>
      <c r="AJ173" s="2003"/>
      <c r="AK173" s="2003"/>
      <c r="AL173" s="2003"/>
      <c r="AM173" s="2003"/>
      <c r="AN173" s="2003"/>
      <c r="AO173" s="2004"/>
      <c r="AP173" s="971"/>
      <c r="AQ173" s="971"/>
      <c r="AR173" s="971"/>
      <c r="AS173" s="971"/>
      <c r="AT173" s="971"/>
      <c r="AU173" s="971"/>
      <c r="AV173" s="971"/>
      <c r="AW173" s="971"/>
      <c r="AX173" s="971"/>
      <c r="AY173" s="971"/>
      <c r="AZ173" s="971"/>
      <c r="BA173" s="971"/>
      <c r="BB173" s="971"/>
      <c r="BC173" s="971"/>
      <c r="BD173" s="971"/>
      <c r="BE173" s="974"/>
    </row>
    <row r="174" spans="1:57" ht="15.75" customHeight="1">
      <c r="A174" s="971"/>
      <c r="B174" s="971"/>
      <c r="C174" s="2008"/>
      <c r="D174" s="1940"/>
      <c r="E174" s="1940"/>
      <c r="F174" s="1940"/>
      <c r="G174" s="1940"/>
      <c r="H174" s="1940"/>
      <c r="I174" s="2088"/>
      <c r="J174" s="2088"/>
      <c r="K174" s="2088"/>
      <c r="L174" s="2088"/>
      <c r="M174" s="2088"/>
      <c r="N174" s="2104"/>
      <c r="O174" s="971"/>
      <c r="P174" s="2002"/>
      <c r="Q174" s="2003"/>
      <c r="R174" s="2003"/>
      <c r="S174" s="2003"/>
      <c r="T174" s="2003"/>
      <c r="U174" s="2003"/>
      <c r="V174" s="2003"/>
      <c r="W174" s="2003"/>
      <c r="X174" s="2003"/>
      <c r="Y174" s="2003"/>
      <c r="Z174" s="2003"/>
      <c r="AA174" s="2003"/>
      <c r="AB174" s="2003"/>
      <c r="AC174" s="2003"/>
      <c r="AD174" s="2003"/>
      <c r="AE174" s="2003"/>
      <c r="AF174" s="2003"/>
      <c r="AG174" s="2003"/>
      <c r="AH174" s="2003"/>
      <c r="AI174" s="2003"/>
      <c r="AJ174" s="2003"/>
      <c r="AK174" s="2003"/>
      <c r="AL174" s="2003"/>
      <c r="AM174" s="2003"/>
      <c r="AN174" s="2003"/>
      <c r="AO174" s="2004"/>
      <c r="AP174" s="971"/>
      <c r="AQ174" s="971"/>
      <c r="AR174" s="971"/>
      <c r="AS174" s="971"/>
      <c r="AT174" s="971"/>
      <c r="AU174" s="971"/>
      <c r="AV174" s="971"/>
      <c r="AW174" s="971"/>
      <c r="AX174" s="971"/>
      <c r="AY174" s="971"/>
      <c r="AZ174" s="971"/>
      <c r="BA174" s="971"/>
      <c r="BB174" s="971"/>
      <c r="BC174" s="971"/>
      <c r="BD174" s="971"/>
      <c r="BE174" s="974"/>
    </row>
    <row r="175" spans="1:57" ht="15.75" customHeight="1">
      <c r="A175" s="971"/>
      <c r="B175" s="971"/>
      <c r="C175" s="2008"/>
      <c r="D175" s="1940"/>
      <c r="E175" s="1940"/>
      <c r="F175" s="1940"/>
      <c r="G175" s="1940"/>
      <c r="H175" s="1940"/>
      <c r="I175" s="2088"/>
      <c r="J175" s="2088"/>
      <c r="K175" s="2088"/>
      <c r="L175" s="2088"/>
      <c r="M175" s="2088"/>
      <c r="N175" s="2104"/>
      <c r="O175" s="971"/>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971"/>
      <c r="AQ175" s="971"/>
      <c r="AR175" s="971"/>
      <c r="AS175" s="971"/>
      <c r="AT175" s="971"/>
      <c r="AU175" s="971"/>
      <c r="AV175" s="971"/>
      <c r="AW175" s="971"/>
      <c r="AX175" s="971"/>
      <c r="AY175" s="971"/>
      <c r="AZ175" s="971"/>
      <c r="BA175" s="971"/>
      <c r="BB175" s="971"/>
      <c r="BC175" s="971"/>
      <c r="BD175" s="971"/>
      <c r="BE175" s="974"/>
    </row>
    <row r="176" spans="1:57" ht="15.75" customHeight="1">
      <c r="A176" s="971"/>
      <c r="B176" s="971"/>
      <c r="C176" s="2008"/>
      <c r="D176" s="1940"/>
      <c r="E176" s="1940"/>
      <c r="F176" s="1940"/>
      <c r="G176" s="1940"/>
      <c r="H176" s="1940"/>
      <c r="I176" s="2088"/>
      <c r="J176" s="2088"/>
      <c r="K176" s="2088"/>
      <c r="L176" s="2088"/>
      <c r="M176" s="2088"/>
      <c r="N176" s="2104"/>
      <c r="O176" s="971"/>
      <c r="P176" s="2002"/>
      <c r="Q176" s="2003"/>
      <c r="R176" s="2003"/>
      <c r="S176" s="2003"/>
      <c r="T176" s="2003"/>
      <c r="U176" s="2003"/>
      <c r="V176" s="2003"/>
      <c r="W176" s="2003"/>
      <c r="X176" s="2003"/>
      <c r="Y176" s="2003"/>
      <c r="Z176" s="2003"/>
      <c r="AA176" s="2003"/>
      <c r="AB176" s="2003"/>
      <c r="AC176" s="2003"/>
      <c r="AD176" s="2003"/>
      <c r="AE176" s="2003"/>
      <c r="AF176" s="2003"/>
      <c r="AG176" s="2003"/>
      <c r="AH176" s="2003"/>
      <c r="AI176" s="2003"/>
      <c r="AJ176" s="2003"/>
      <c r="AK176" s="2003"/>
      <c r="AL176" s="2003"/>
      <c r="AM176" s="2003"/>
      <c r="AN176" s="2003"/>
      <c r="AO176" s="2004"/>
      <c r="AP176" s="971"/>
      <c r="AQ176" s="971"/>
      <c r="AR176" s="971"/>
      <c r="AS176" s="971"/>
      <c r="AT176" s="971"/>
      <c r="AU176" s="971"/>
      <c r="AV176" s="971"/>
      <c r="AW176" s="971"/>
      <c r="AX176" s="971"/>
      <c r="AY176" s="971"/>
      <c r="AZ176" s="971"/>
      <c r="BA176" s="971"/>
      <c r="BB176" s="971"/>
      <c r="BC176" s="971"/>
      <c r="BD176" s="971"/>
      <c r="BE176" s="974"/>
    </row>
    <row r="177" spans="1:57" ht="15.75" customHeight="1">
      <c r="A177" s="971"/>
      <c r="B177" s="971"/>
      <c r="C177" s="2008"/>
      <c r="D177" s="1940"/>
      <c r="E177" s="1940"/>
      <c r="F177" s="1940"/>
      <c r="G177" s="1940"/>
      <c r="H177" s="1940"/>
      <c r="I177" s="2088"/>
      <c r="J177" s="2088"/>
      <c r="K177" s="2088"/>
      <c r="L177" s="2088"/>
      <c r="M177" s="2088"/>
      <c r="N177" s="2104"/>
      <c r="O177" s="971"/>
      <c r="P177" s="2002"/>
      <c r="Q177" s="2003"/>
      <c r="R177" s="2003"/>
      <c r="S177" s="2003"/>
      <c r="T177" s="2003"/>
      <c r="U177" s="2003"/>
      <c r="V177" s="2003"/>
      <c r="W177" s="2003"/>
      <c r="X177" s="2003"/>
      <c r="Y177" s="2003"/>
      <c r="Z177" s="2003"/>
      <c r="AA177" s="2003"/>
      <c r="AB177" s="2003"/>
      <c r="AC177" s="2003"/>
      <c r="AD177" s="2003"/>
      <c r="AE177" s="2003"/>
      <c r="AF177" s="2003"/>
      <c r="AG177" s="2003"/>
      <c r="AH177" s="2003"/>
      <c r="AI177" s="2003"/>
      <c r="AJ177" s="2003"/>
      <c r="AK177" s="2003"/>
      <c r="AL177" s="2003"/>
      <c r="AM177" s="2003"/>
      <c r="AN177" s="2003"/>
      <c r="AO177" s="2004"/>
      <c r="AP177" s="971"/>
      <c r="AQ177" s="971"/>
      <c r="AR177" s="971"/>
      <c r="AS177" s="971"/>
      <c r="AT177" s="971"/>
      <c r="AU177" s="971"/>
      <c r="AV177" s="971"/>
      <c r="AW177" s="971"/>
      <c r="AX177" s="971"/>
      <c r="AY177" s="971"/>
      <c r="AZ177" s="971"/>
      <c r="BA177" s="971"/>
      <c r="BB177" s="971"/>
      <c r="BC177" s="971"/>
      <c r="BD177" s="971"/>
      <c r="BE177" s="974"/>
    </row>
    <row r="178" spans="1:57" ht="15.75" customHeight="1">
      <c r="A178" s="971"/>
      <c r="B178" s="971"/>
      <c r="C178" s="2008"/>
      <c r="D178" s="1940"/>
      <c r="E178" s="1940"/>
      <c r="F178" s="1940"/>
      <c r="G178" s="1940"/>
      <c r="H178" s="1940"/>
      <c r="I178" s="2088"/>
      <c r="J178" s="2088"/>
      <c r="K178" s="2088"/>
      <c r="L178" s="2088"/>
      <c r="M178" s="2088"/>
      <c r="N178" s="2104"/>
      <c r="O178" s="971"/>
      <c r="P178" s="2002"/>
      <c r="Q178" s="2003"/>
      <c r="R178" s="2003"/>
      <c r="S178" s="2003"/>
      <c r="T178" s="2003"/>
      <c r="U178" s="2003"/>
      <c r="V178" s="2003"/>
      <c r="W178" s="2003"/>
      <c r="X178" s="2003"/>
      <c r="Y178" s="2003"/>
      <c r="Z178" s="2003"/>
      <c r="AA178" s="2003"/>
      <c r="AB178" s="2003"/>
      <c r="AC178" s="2003"/>
      <c r="AD178" s="2003"/>
      <c r="AE178" s="2003"/>
      <c r="AF178" s="2003"/>
      <c r="AG178" s="2003"/>
      <c r="AH178" s="2003"/>
      <c r="AI178" s="2003"/>
      <c r="AJ178" s="2003"/>
      <c r="AK178" s="2003"/>
      <c r="AL178" s="2003"/>
      <c r="AM178" s="2003"/>
      <c r="AN178" s="2003"/>
      <c r="AO178" s="2004"/>
      <c r="AP178" s="971"/>
      <c r="AQ178" s="971"/>
      <c r="AR178" s="971"/>
      <c r="AS178" s="971"/>
      <c r="AT178" s="971"/>
      <c r="AU178" s="971"/>
      <c r="AV178" s="971"/>
      <c r="AW178" s="971"/>
      <c r="AX178" s="971"/>
      <c r="AY178" s="971"/>
      <c r="AZ178" s="971"/>
      <c r="BA178" s="971"/>
      <c r="BB178" s="971"/>
      <c r="BC178" s="971"/>
      <c r="BD178" s="971"/>
      <c r="BE178" s="974"/>
    </row>
    <row r="179" spans="1:57" ht="15.75" customHeight="1">
      <c r="A179" s="971"/>
      <c r="B179" s="971"/>
      <c r="C179" s="2008"/>
      <c r="D179" s="1940"/>
      <c r="E179" s="1940"/>
      <c r="F179" s="1940"/>
      <c r="G179" s="1940"/>
      <c r="H179" s="1940"/>
      <c r="I179" s="2088"/>
      <c r="J179" s="2088"/>
      <c r="K179" s="2088"/>
      <c r="L179" s="2088"/>
      <c r="M179" s="2088"/>
      <c r="N179" s="2104"/>
      <c r="O179" s="971"/>
      <c r="P179" s="2002"/>
      <c r="Q179" s="2003"/>
      <c r="R179" s="2003"/>
      <c r="S179" s="2003"/>
      <c r="T179" s="2003"/>
      <c r="U179" s="2003"/>
      <c r="V179" s="2003"/>
      <c r="W179" s="2003"/>
      <c r="X179" s="2003"/>
      <c r="Y179" s="2003"/>
      <c r="Z179" s="2003"/>
      <c r="AA179" s="2003"/>
      <c r="AB179" s="2003"/>
      <c r="AC179" s="2003"/>
      <c r="AD179" s="2003"/>
      <c r="AE179" s="2003"/>
      <c r="AF179" s="2003"/>
      <c r="AG179" s="2003"/>
      <c r="AH179" s="2003"/>
      <c r="AI179" s="2003"/>
      <c r="AJ179" s="2003"/>
      <c r="AK179" s="2003"/>
      <c r="AL179" s="2003"/>
      <c r="AM179" s="2003"/>
      <c r="AN179" s="2003"/>
      <c r="AO179" s="2004"/>
      <c r="AP179" s="971"/>
      <c r="AQ179" s="971"/>
      <c r="AR179" s="971"/>
      <c r="AS179" s="971"/>
      <c r="AT179" s="971"/>
      <c r="AU179" s="971"/>
      <c r="AV179" s="971"/>
      <c r="AW179" s="971"/>
      <c r="AX179" s="971"/>
      <c r="AY179" s="971"/>
      <c r="AZ179" s="971"/>
      <c r="BA179" s="971"/>
      <c r="BB179" s="971"/>
      <c r="BC179" s="971"/>
      <c r="BD179" s="971"/>
      <c r="BE179" s="974"/>
    </row>
    <row r="180" spans="1:57" ht="15.75" customHeight="1" thickBot="1">
      <c r="A180" s="971"/>
      <c r="B180" s="971"/>
      <c r="C180" s="2105"/>
      <c r="D180" s="2106"/>
      <c r="E180" s="2106"/>
      <c r="F180" s="2106"/>
      <c r="G180" s="2106"/>
      <c r="H180" s="2106"/>
      <c r="I180" s="2107"/>
      <c r="J180" s="2107"/>
      <c r="K180" s="2107"/>
      <c r="L180" s="2107"/>
      <c r="M180" s="2107"/>
      <c r="N180" s="2108"/>
      <c r="O180" s="971"/>
      <c r="P180" s="2005"/>
      <c r="Q180" s="2006"/>
      <c r="R180" s="2006"/>
      <c r="S180" s="2006"/>
      <c r="T180" s="2006"/>
      <c r="U180" s="2006"/>
      <c r="V180" s="2006"/>
      <c r="W180" s="2006"/>
      <c r="X180" s="2006"/>
      <c r="Y180" s="2006"/>
      <c r="Z180" s="2006"/>
      <c r="AA180" s="2006"/>
      <c r="AB180" s="2006"/>
      <c r="AC180" s="2006"/>
      <c r="AD180" s="2006"/>
      <c r="AE180" s="2006"/>
      <c r="AF180" s="2006"/>
      <c r="AG180" s="2006"/>
      <c r="AH180" s="2006"/>
      <c r="AI180" s="2006"/>
      <c r="AJ180" s="2006"/>
      <c r="AK180" s="2006"/>
      <c r="AL180" s="2006"/>
      <c r="AM180" s="2006"/>
      <c r="AN180" s="2006"/>
      <c r="AO180" s="2007"/>
      <c r="AP180" s="971"/>
      <c r="AQ180" s="971"/>
      <c r="AR180" s="971"/>
      <c r="AS180" s="971"/>
      <c r="AT180" s="971"/>
      <c r="AU180" s="971"/>
      <c r="AV180" s="971"/>
      <c r="AW180" s="971"/>
      <c r="AX180" s="971"/>
      <c r="AY180" s="971"/>
      <c r="AZ180" s="971"/>
      <c r="BA180" s="971"/>
      <c r="BB180" s="971"/>
      <c r="BC180" s="971"/>
      <c r="BD180" s="971"/>
      <c r="BE180" s="974"/>
    </row>
    <row r="181" spans="1:57" ht="15.75" customHeight="1" thickBot="1">
      <c r="A181" s="971"/>
      <c r="B181" s="971"/>
      <c r="C181" s="971"/>
      <c r="D181" s="971"/>
      <c r="E181" s="971"/>
      <c r="F181" s="971"/>
      <c r="G181" s="971"/>
      <c r="H181" s="971"/>
      <c r="I181" s="971"/>
      <c r="J181" s="971"/>
      <c r="K181" s="971"/>
      <c r="L181" s="971"/>
      <c r="M181" s="971"/>
      <c r="N181" s="971"/>
      <c r="O181" s="971"/>
      <c r="P181" s="971"/>
      <c r="Q181" s="971"/>
      <c r="R181" s="971"/>
      <c r="S181" s="971"/>
      <c r="T181" s="971"/>
      <c r="U181" s="971"/>
      <c r="V181" s="971"/>
      <c r="W181" s="971"/>
      <c r="X181" s="971"/>
      <c r="Y181" s="971"/>
      <c r="Z181" s="971"/>
      <c r="AA181" s="971"/>
      <c r="AB181" s="971"/>
      <c r="AC181" s="971"/>
      <c r="AD181" s="971"/>
      <c r="AE181" s="971"/>
      <c r="AF181" s="971"/>
      <c r="AG181" s="971"/>
      <c r="AH181" s="971"/>
      <c r="AI181" s="971"/>
      <c r="AJ181" s="971"/>
      <c r="AK181" s="971"/>
      <c r="AL181" s="971"/>
      <c r="AM181" s="971"/>
      <c r="AN181" s="971"/>
      <c r="AO181" s="971"/>
      <c r="AP181" s="971"/>
      <c r="AQ181" s="971"/>
      <c r="AR181" s="971"/>
      <c r="AS181" s="971"/>
      <c r="AT181" s="971"/>
      <c r="AU181" s="971"/>
      <c r="AV181" s="971"/>
      <c r="AW181" s="971"/>
      <c r="AX181" s="971"/>
      <c r="AY181" s="971"/>
      <c r="AZ181" s="971"/>
      <c r="BA181" s="971"/>
      <c r="BB181" s="971"/>
      <c r="BC181" s="971"/>
      <c r="BD181" s="971"/>
      <c r="BE181" s="974"/>
    </row>
    <row r="182" spans="1:57" ht="15.75" customHeight="1">
      <c r="A182" s="971"/>
      <c r="B182" s="971"/>
      <c r="C182" s="2112" t="s">
        <v>2021</v>
      </c>
      <c r="D182" s="2113"/>
      <c r="E182" s="2113"/>
      <c r="F182" s="2113"/>
      <c r="G182" s="2113"/>
      <c r="H182" s="2113"/>
      <c r="I182" s="2113"/>
      <c r="J182" s="2113"/>
      <c r="K182" s="2113"/>
      <c r="L182" s="2113"/>
      <c r="M182" s="2113"/>
      <c r="N182" s="2113"/>
      <c r="O182" s="2113"/>
      <c r="P182" s="2113"/>
      <c r="Q182" s="2113"/>
      <c r="R182" s="2113"/>
      <c r="S182" s="2113"/>
      <c r="T182" s="2113"/>
      <c r="U182" s="2113"/>
      <c r="V182" s="2113"/>
      <c r="W182" s="2113"/>
      <c r="X182" s="2113"/>
      <c r="Y182" s="2113"/>
      <c r="Z182" s="2113"/>
      <c r="AA182" s="2113"/>
      <c r="AB182" s="2113"/>
      <c r="AC182" s="2113"/>
      <c r="AD182" s="2113"/>
      <c r="AE182" s="2114"/>
      <c r="AF182" s="971"/>
      <c r="AG182" s="971"/>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971"/>
      <c r="B183" s="971"/>
      <c r="C183" s="2115"/>
      <c r="D183" s="2116"/>
      <c r="E183" s="2116"/>
      <c r="F183" s="2116"/>
      <c r="G183" s="2116"/>
      <c r="H183" s="2116"/>
      <c r="I183" s="2116"/>
      <c r="J183" s="2116"/>
      <c r="K183" s="2116"/>
      <c r="L183" s="2116"/>
      <c r="M183" s="2116"/>
      <c r="N183" s="2116"/>
      <c r="O183" s="2116"/>
      <c r="P183" s="2116"/>
      <c r="Q183" s="2116"/>
      <c r="R183" s="2116"/>
      <c r="S183" s="2116"/>
      <c r="T183" s="2116"/>
      <c r="U183" s="2116"/>
      <c r="V183" s="2116"/>
      <c r="W183" s="2116"/>
      <c r="X183" s="2116"/>
      <c r="Y183" s="2116"/>
      <c r="Z183" s="2116"/>
      <c r="AA183" s="2116"/>
      <c r="AB183" s="2116"/>
      <c r="AC183" s="2116"/>
      <c r="AD183" s="2116"/>
      <c r="AE183" s="2117"/>
      <c r="AF183" s="971"/>
      <c r="AG183" s="971"/>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c r="A184" s="971"/>
      <c r="B184" s="971"/>
      <c r="C184" s="1982" t="s">
        <v>2009</v>
      </c>
      <c r="D184" s="1983"/>
      <c r="E184" s="1983"/>
      <c r="F184" s="1983"/>
      <c r="G184" s="1983"/>
      <c r="H184" s="1983"/>
      <c r="I184" s="1983"/>
      <c r="J184" s="1983"/>
      <c r="K184" s="1983"/>
      <c r="L184" s="1983"/>
      <c r="M184" s="1983"/>
      <c r="N184" s="1983" t="s">
        <v>2022</v>
      </c>
      <c r="O184" s="1983"/>
      <c r="P184" s="1983"/>
      <c r="Q184" s="1983"/>
      <c r="R184" s="1983"/>
      <c r="S184" s="1983"/>
      <c r="T184" s="1983"/>
      <c r="U184" s="1934" t="s">
        <v>2009</v>
      </c>
      <c r="V184" s="1934"/>
      <c r="W184" s="1934"/>
      <c r="X184" s="1934"/>
      <c r="Y184" s="1934"/>
      <c r="Z184" s="1934"/>
      <c r="AA184" s="1934"/>
      <c r="AB184" s="1934"/>
      <c r="AC184" s="1934"/>
      <c r="AD184" s="1934"/>
      <c r="AE184" s="1935"/>
      <c r="AF184" s="971"/>
      <c r="AG184" s="971"/>
      <c r="AH184" s="2122"/>
      <c r="AI184" s="2122"/>
      <c r="AJ184" s="2122"/>
      <c r="AK184" s="2122"/>
      <c r="AL184" s="2122"/>
      <c r="AM184" s="2122"/>
      <c r="AN184" s="2122"/>
      <c r="AO184" s="2122"/>
      <c r="AP184" s="2122"/>
      <c r="AQ184" s="2122"/>
      <c r="AR184" s="2122"/>
      <c r="AS184" s="2122"/>
      <c r="AT184" s="2122"/>
      <c r="AU184" s="2122"/>
      <c r="AV184" s="2122"/>
      <c r="AW184" s="2122"/>
      <c r="AX184" s="2122"/>
      <c r="AY184" s="2122"/>
      <c r="AZ184" s="2122"/>
      <c r="BA184" s="2122"/>
      <c r="BB184" s="2122"/>
      <c r="BC184" s="2122"/>
      <c r="BD184" s="2122"/>
      <c r="BE184" s="2122"/>
    </row>
    <row r="185" spans="1:57" ht="15.75" customHeight="1">
      <c r="A185" s="971"/>
      <c r="B185" s="971"/>
      <c r="C185" s="2109" t="s">
        <v>2023</v>
      </c>
      <c r="D185" s="2110"/>
      <c r="E185" s="2110"/>
      <c r="F185" s="2110"/>
      <c r="G185" s="2110"/>
      <c r="H185" s="2110"/>
      <c r="I185" s="2110"/>
      <c r="J185" s="2110"/>
      <c r="K185" s="2110"/>
      <c r="L185" s="2110"/>
      <c r="M185" s="2110"/>
      <c r="N185" s="2111">
        <f>'Sources and Uses Budget'!B105</f>
        <v>43095977</v>
      </c>
      <c r="O185" s="2111"/>
      <c r="P185" s="2111"/>
      <c r="Q185" s="2111"/>
      <c r="R185" s="2111"/>
      <c r="S185" s="2111"/>
      <c r="T185" s="2111"/>
      <c r="U185" s="2123"/>
      <c r="V185" s="2123"/>
      <c r="W185" s="2123"/>
      <c r="X185" s="2123"/>
      <c r="Y185" s="2123"/>
      <c r="Z185" s="2123"/>
      <c r="AA185" s="2123"/>
      <c r="AB185" s="2123"/>
      <c r="AC185" s="2123"/>
      <c r="AD185" s="2123"/>
      <c r="AE185" s="2124"/>
      <c r="AF185" s="971"/>
      <c r="AG185" s="971"/>
      <c r="AH185" s="2122"/>
      <c r="AI185" s="2122"/>
      <c r="AJ185" s="2122"/>
      <c r="AK185" s="2122"/>
      <c r="AL185" s="2122"/>
      <c r="AM185" s="2122"/>
      <c r="AN185" s="2122"/>
      <c r="AO185" s="2122"/>
      <c r="AP185" s="2122"/>
      <c r="AQ185" s="2122"/>
      <c r="AR185" s="2122"/>
      <c r="AS185" s="2122"/>
      <c r="AT185" s="2122"/>
      <c r="AU185" s="2122"/>
      <c r="AV185" s="2122"/>
      <c r="AW185" s="2122"/>
      <c r="AX185" s="2122"/>
      <c r="AY185" s="2122"/>
      <c r="AZ185" s="2122"/>
      <c r="BA185" s="2122"/>
      <c r="BB185" s="2122"/>
      <c r="BC185" s="2122"/>
      <c r="BD185" s="2122"/>
      <c r="BE185" s="2122"/>
    </row>
    <row r="186" spans="1:57" ht="15.75" customHeight="1">
      <c r="A186" s="971"/>
      <c r="B186" s="971"/>
      <c r="C186" s="2109" t="s">
        <v>2024</v>
      </c>
      <c r="D186" s="2110"/>
      <c r="E186" s="2110"/>
      <c r="F186" s="2110"/>
      <c r="G186" s="2110"/>
      <c r="H186" s="2110"/>
      <c r="I186" s="2110"/>
      <c r="J186" s="2110"/>
      <c r="K186" s="2110"/>
      <c r="L186" s="2110"/>
      <c r="M186" s="2110"/>
      <c r="N186" s="2111">
        <f>N185/J29</f>
        <v>813131.64150943398</v>
      </c>
      <c r="O186" s="2111"/>
      <c r="P186" s="2111"/>
      <c r="Q186" s="2111"/>
      <c r="R186" s="2111"/>
      <c r="S186" s="2111"/>
      <c r="T186" s="2111"/>
      <c r="U186" s="1183"/>
      <c r="V186" s="1183"/>
      <c r="W186" s="1183"/>
      <c r="X186" s="1183"/>
      <c r="Y186" s="1183"/>
      <c r="Z186" s="1183"/>
      <c r="AA186" s="1183"/>
      <c r="AB186" s="1183"/>
      <c r="AC186" s="1183"/>
      <c r="AD186" s="1183"/>
      <c r="AE186" s="1184"/>
      <c r="AF186" s="971"/>
      <c r="AG186" s="971"/>
      <c r="AH186" s="2122"/>
      <c r="AI186" s="2122"/>
      <c r="AJ186" s="2122"/>
      <c r="AK186" s="2122"/>
      <c r="AL186" s="2122"/>
      <c r="AM186" s="2122"/>
      <c r="AN186" s="2122"/>
      <c r="AO186" s="2122"/>
      <c r="AP186" s="2122"/>
      <c r="AQ186" s="2122"/>
      <c r="AR186" s="2122"/>
      <c r="AS186" s="2122"/>
      <c r="AT186" s="2122"/>
      <c r="AU186" s="2122"/>
      <c r="AV186" s="2122"/>
      <c r="AW186" s="2122"/>
      <c r="AX186" s="2122"/>
      <c r="AY186" s="2122"/>
      <c r="AZ186" s="2122"/>
      <c r="BA186" s="2122"/>
      <c r="BB186" s="2122"/>
      <c r="BC186" s="2122"/>
      <c r="BD186" s="2122"/>
      <c r="BE186" s="2122"/>
    </row>
    <row r="187" spans="1:57" ht="15.75" customHeight="1">
      <c r="A187" s="971"/>
      <c r="B187" s="971"/>
      <c r="C187" s="2125" t="s">
        <v>2025</v>
      </c>
      <c r="D187" s="2126"/>
      <c r="E187" s="2126"/>
      <c r="F187" s="2126"/>
      <c r="G187" s="2126"/>
      <c r="H187" s="2126"/>
      <c r="I187" s="2126"/>
      <c r="J187" s="2126"/>
      <c r="K187" s="2126"/>
      <c r="L187" s="2126"/>
      <c r="M187" s="2126"/>
      <c r="N187" s="1976">
        <v>0</v>
      </c>
      <c r="O187" s="1976"/>
      <c r="P187" s="1976"/>
      <c r="Q187" s="1976"/>
      <c r="R187" s="1976"/>
      <c r="S187" s="1976"/>
      <c r="T187" s="1976"/>
      <c r="U187" s="1952"/>
      <c r="V187" s="1952"/>
      <c r="W187" s="1952"/>
      <c r="X187" s="1952"/>
      <c r="Y187" s="1952"/>
      <c r="Z187" s="1952"/>
      <c r="AA187" s="1952"/>
      <c r="AB187" s="1952"/>
      <c r="AC187" s="1952"/>
      <c r="AD187" s="1952"/>
      <c r="AE187" s="1953"/>
      <c r="AF187" s="971"/>
      <c r="AG187" s="971"/>
      <c r="AH187" s="2122"/>
      <c r="AI187" s="2122"/>
      <c r="AJ187" s="2122"/>
      <c r="AK187" s="2122"/>
      <c r="AL187" s="2122"/>
      <c r="AM187" s="2122"/>
      <c r="AN187" s="2122"/>
      <c r="AO187" s="2122"/>
      <c r="AP187" s="2122"/>
      <c r="AQ187" s="2122"/>
      <c r="AR187" s="2122"/>
      <c r="AS187" s="2122"/>
      <c r="AT187" s="2122"/>
      <c r="AU187" s="2122"/>
      <c r="AV187" s="2122"/>
      <c r="AW187" s="2122"/>
      <c r="AX187" s="2122"/>
      <c r="AY187" s="2122"/>
      <c r="AZ187" s="2122"/>
      <c r="BA187" s="2122"/>
      <c r="BB187" s="2122"/>
      <c r="BC187" s="2122"/>
      <c r="BD187" s="2122"/>
      <c r="BE187" s="2122"/>
    </row>
    <row r="188" spans="1:57" ht="15.75" customHeight="1" thickBot="1">
      <c r="A188" s="971"/>
      <c r="B188" s="971"/>
      <c r="C188" s="2109" t="s">
        <v>2026</v>
      </c>
      <c r="D188" s="2110"/>
      <c r="E188" s="2110"/>
      <c r="F188" s="2110"/>
      <c r="G188" s="2110"/>
      <c r="H188" s="2110"/>
      <c r="I188" s="2110"/>
      <c r="J188" s="2110"/>
      <c r="K188" s="2110"/>
      <c r="L188" s="2110"/>
      <c r="M188" s="2110"/>
      <c r="N188" s="2127">
        <f>SUM('Sources and Uses Budget'!B85:B86)</f>
        <v>2915001</v>
      </c>
      <c r="O188" s="2127"/>
      <c r="P188" s="2127"/>
      <c r="Q188" s="2127"/>
      <c r="R188" s="2127"/>
      <c r="S188" s="2127"/>
      <c r="T188" s="2127"/>
      <c r="U188" s="1952"/>
      <c r="V188" s="1952"/>
      <c r="W188" s="1952"/>
      <c r="X188" s="1952"/>
      <c r="Y188" s="1952"/>
      <c r="Z188" s="1952"/>
      <c r="AA188" s="1952"/>
      <c r="AB188" s="1952"/>
      <c r="AC188" s="1952"/>
      <c r="AD188" s="1952"/>
      <c r="AE188" s="1953"/>
      <c r="AF188" s="971"/>
      <c r="AG188" s="971"/>
      <c r="AH188" s="2122"/>
      <c r="AI188" s="2122"/>
      <c r="AJ188" s="2122"/>
      <c r="AK188" s="2122"/>
      <c r="AL188" s="2122"/>
      <c r="AM188" s="2122"/>
      <c r="AN188" s="2122"/>
      <c r="AO188" s="2122"/>
      <c r="AP188" s="2122"/>
      <c r="AQ188" s="2122"/>
      <c r="AR188" s="2122"/>
      <c r="AS188" s="2122"/>
      <c r="AT188" s="2122"/>
      <c r="AU188" s="2122"/>
      <c r="AV188" s="2122"/>
      <c r="AW188" s="2122"/>
      <c r="AX188" s="2122"/>
      <c r="AY188" s="2122"/>
      <c r="AZ188" s="2122"/>
      <c r="BA188" s="2122"/>
      <c r="BB188" s="2122"/>
      <c r="BC188" s="2122"/>
      <c r="BD188" s="2122"/>
      <c r="BE188" s="2122"/>
    </row>
    <row r="189" spans="1:57" ht="15.75" customHeight="1" thickBot="1">
      <c r="A189" s="971"/>
      <c r="B189" s="971"/>
      <c r="C189" s="2109" t="s">
        <v>2027</v>
      </c>
      <c r="D189" s="2110"/>
      <c r="E189" s="2110"/>
      <c r="F189" s="2110"/>
      <c r="G189" s="2110"/>
      <c r="H189" s="2110"/>
      <c r="I189" s="2110"/>
      <c r="J189" s="2110"/>
      <c r="K189" s="2110"/>
      <c r="L189" s="2110"/>
      <c r="M189" s="2110"/>
      <c r="N189" s="2127">
        <f>'Sources and Uses Budget'!B8</f>
        <v>1440000</v>
      </c>
      <c r="O189" s="2127"/>
      <c r="P189" s="2127"/>
      <c r="Q189" s="2127"/>
      <c r="R189" s="2127"/>
      <c r="S189" s="2127"/>
      <c r="T189" s="2127"/>
      <c r="U189" s="1952"/>
      <c r="V189" s="1952"/>
      <c r="W189" s="1952"/>
      <c r="X189" s="1952"/>
      <c r="Y189" s="1952"/>
      <c r="Z189" s="1952"/>
      <c r="AA189" s="1952"/>
      <c r="AB189" s="1952"/>
      <c r="AC189" s="1952"/>
      <c r="AD189" s="1952"/>
      <c r="AE189" s="1953"/>
      <c r="AF189" s="971"/>
      <c r="AG189" s="971"/>
      <c r="AH189" s="2131" t="s">
        <v>1433</v>
      </c>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3"/>
    </row>
    <row r="190" spans="1:57" ht="15.75" customHeight="1">
      <c r="A190" s="971"/>
      <c r="B190" s="971"/>
      <c r="C190" s="2109" t="s">
        <v>2028</v>
      </c>
      <c r="D190" s="2110"/>
      <c r="E190" s="2110"/>
      <c r="F190" s="2110"/>
      <c r="G190" s="2110"/>
      <c r="H190" s="2110"/>
      <c r="I190" s="2110"/>
      <c r="J190" s="2110"/>
      <c r="K190" s="2110"/>
      <c r="L190" s="2110"/>
      <c r="M190" s="2110"/>
      <c r="N190" s="2118">
        <v>0</v>
      </c>
      <c r="O190" s="2118"/>
      <c r="P190" s="2118"/>
      <c r="Q190" s="2118"/>
      <c r="R190" s="2118"/>
      <c r="S190" s="2118"/>
      <c r="T190" s="2118"/>
      <c r="U190" s="1952"/>
      <c r="V190" s="1952"/>
      <c r="W190" s="1952"/>
      <c r="X190" s="1952"/>
      <c r="Y190" s="1952"/>
      <c r="Z190" s="1952"/>
      <c r="AA190" s="1952"/>
      <c r="AB190" s="1952"/>
      <c r="AC190" s="1952"/>
      <c r="AD190" s="1952"/>
      <c r="AE190" s="1953"/>
      <c r="AF190" s="971"/>
      <c r="AG190" s="971"/>
      <c r="AH190" s="2134" t="s">
        <v>1433</v>
      </c>
      <c r="AI190" s="2135"/>
      <c r="AJ190" s="2135"/>
      <c r="AK190" s="2135"/>
      <c r="AL190" s="2135"/>
      <c r="AM190" s="2135"/>
      <c r="AN190" s="2135"/>
      <c r="AO190" s="2135"/>
      <c r="AP190" s="2135"/>
      <c r="AQ190" s="2135"/>
      <c r="AR190" s="2135"/>
      <c r="AS190" s="2135"/>
      <c r="AT190" s="2135"/>
      <c r="AU190" s="2136">
        <v>0</v>
      </c>
      <c r="AV190" s="2136"/>
      <c r="AW190" s="2136"/>
      <c r="AX190" s="2136"/>
      <c r="AY190" s="2136"/>
      <c r="AZ190" s="2136"/>
      <c r="BA190" s="2136"/>
      <c r="BB190" s="2136"/>
      <c r="BC190" s="2137"/>
      <c r="BD190" s="2138"/>
      <c r="BE190" s="2139"/>
    </row>
    <row r="191" spans="1:57" ht="15.75" customHeight="1">
      <c r="A191" s="971"/>
      <c r="B191" s="971"/>
      <c r="C191" s="2109" t="s">
        <v>2029</v>
      </c>
      <c r="D191" s="2110"/>
      <c r="E191" s="2110"/>
      <c r="F191" s="2110"/>
      <c r="G191" s="2110"/>
      <c r="H191" s="2110"/>
      <c r="I191" s="2110"/>
      <c r="J191" s="2110"/>
      <c r="K191" s="2110"/>
      <c r="L191" s="2110"/>
      <c r="M191" s="2110"/>
      <c r="N191" s="2118">
        <v>0</v>
      </c>
      <c r="O191" s="2118"/>
      <c r="P191" s="2118"/>
      <c r="Q191" s="2118"/>
      <c r="R191" s="2118"/>
      <c r="S191" s="2118"/>
      <c r="T191" s="2118"/>
      <c r="U191" s="1952"/>
      <c r="V191" s="1952"/>
      <c r="W191" s="1952"/>
      <c r="X191" s="1952"/>
      <c r="Y191" s="1952"/>
      <c r="Z191" s="1952"/>
      <c r="AA191" s="1952"/>
      <c r="AB191" s="1952"/>
      <c r="AC191" s="1952"/>
      <c r="AD191" s="1952"/>
      <c r="AE191" s="1953"/>
      <c r="AF191" s="971"/>
      <c r="AG191" s="971"/>
      <c r="AH191" s="2119" t="s">
        <v>2030</v>
      </c>
      <c r="AI191" s="2120"/>
      <c r="AJ191" s="2120"/>
      <c r="AK191" s="2120"/>
      <c r="AL191" s="2120"/>
      <c r="AM191" s="2120"/>
      <c r="AN191" s="2120"/>
      <c r="AO191" s="2120"/>
      <c r="AP191" s="2120"/>
      <c r="AQ191" s="2120"/>
      <c r="AR191" s="2120"/>
      <c r="AS191" s="2120"/>
      <c r="AT191" s="2120"/>
      <c r="AU191" s="2121"/>
      <c r="AV191" s="2121"/>
      <c r="AW191" s="2121"/>
      <c r="AX191" s="2121"/>
      <c r="AY191" s="2121"/>
      <c r="AZ191" s="2121"/>
      <c r="BA191" s="2121"/>
      <c r="BB191" s="2121"/>
      <c r="BC191" s="2128"/>
      <c r="BD191" s="2129"/>
      <c r="BE191" s="2130"/>
    </row>
    <row r="192" spans="1:57" ht="15.75" customHeight="1">
      <c r="A192" s="971"/>
      <c r="B192" s="971"/>
      <c r="C192" s="2144" t="s">
        <v>1055</v>
      </c>
      <c r="D192" s="2087"/>
      <c r="E192" s="2140" t="s">
        <v>2016</v>
      </c>
      <c r="F192" s="2140"/>
      <c r="G192" s="2140"/>
      <c r="H192" s="2140"/>
      <c r="I192" s="2140"/>
      <c r="J192" s="2140"/>
      <c r="K192" s="2140"/>
      <c r="L192" s="2140"/>
      <c r="M192" s="2140"/>
      <c r="N192" s="2118">
        <v>0</v>
      </c>
      <c r="O192" s="2118"/>
      <c r="P192" s="2118"/>
      <c r="Q192" s="2118"/>
      <c r="R192" s="2118"/>
      <c r="S192" s="2118"/>
      <c r="T192" s="2118"/>
      <c r="U192" s="1952"/>
      <c r="V192" s="1952"/>
      <c r="W192" s="1952"/>
      <c r="X192" s="1952"/>
      <c r="Y192" s="1952"/>
      <c r="Z192" s="1952"/>
      <c r="AA192" s="1952"/>
      <c r="AB192" s="1952"/>
      <c r="AC192" s="1952"/>
      <c r="AD192" s="1952"/>
      <c r="AE192" s="1953"/>
      <c r="AF192" s="971"/>
      <c r="AG192" s="971"/>
      <c r="AH192" s="2145" t="s">
        <v>2031</v>
      </c>
      <c r="AI192" s="2146"/>
      <c r="AJ192" s="2146"/>
      <c r="AK192" s="2146"/>
      <c r="AL192" s="2146"/>
      <c r="AM192" s="2146"/>
      <c r="AN192" s="2146"/>
      <c r="AO192" s="2146"/>
      <c r="AP192" s="2146"/>
      <c r="AQ192" s="2146"/>
      <c r="AR192" s="2146"/>
      <c r="AS192" s="2146"/>
      <c r="AT192" s="2146"/>
      <c r="AU192" s="2147">
        <f>SUM(AU190:BB191)</f>
        <v>0</v>
      </c>
      <c r="AV192" s="2147"/>
      <c r="AW192" s="2147"/>
      <c r="AX192" s="2147"/>
      <c r="AY192" s="2147"/>
      <c r="AZ192" s="2147"/>
      <c r="BA192" s="2147"/>
      <c r="BB192" s="2147"/>
      <c r="BC192" s="2128"/>
      <c r="BD192" s="2129"/>
      <c r="BE192" s="2130"/>
    </row>
    <row r="193" spans="1:57" ht="15.75" customHeight="1" thickBot="1">
      <c r="A193" s="971"/>
      <c r="B193" s="971"/>
      <c r="C193" s="2008" t="s">
        <v>1055</v>
      </c>
      <c r="D193" s="1940"/>
      <c r="E193" s="2140" t="s">
        <v>2016</v>
      </c>
      <c r="F193" s="2140"/>
      <c r="G193" s="2140"/>
      <c r="H193" s="2140"/>
      <c r="I193" s="2140"/>
      <c r="J193" s="2140"/>
      <c r="K193" s="2140"/>
      <c r="L193" s="2140"/>
      <c r="M193" s="2140"/>
      <c r="N193" s="2118">
        <v>0</v>
      </c>
      <c r="O193" s="2118"/>
      <c r="P193" s="2118"/>
      <c r="Q193" s="2118"/>
      <c r="R193" s="2118"/>
      <c r="S193" s="2118"/>
      <c r="T193" s="2118"/>
      <c r="U193" s="1952"/>
      <c r="V193" s="1952"/>
      <c r="W193" s="1952"/>
      <c r="X193" s="1952"/>
      <c r="Y193" s="1952"/>
      <c r="Z193" s="1952"/>
      <c r="AA193" s="1952"/>
      <c r="AB193" s="1952"/>
      <c r="AC193" s="1952"/>
      <c r="AD193" s="1952"/>
      <c r="AE193" s="1953"/>
      <c r="AF193" s="971"/>
      <c r="AG193" s="971"/>
      <c r="AH193" s="1008"/>
      <c r="AI193" s="1009"/>
      <c r="AJ193" s="1009"/>
      <c r="AK193" s="1009"/>
      <c r="AL193" s="1009"/>
      <c r="AM193" s="1009"/>
      <c r="AN193" s="1009"/>
      <c r="AO193" s="1009"/>
      <c r="AP193" s="1009"/>
      <c r="AQ193" s="1009"/>
      <c r="AR193" s="1009"/>
      <c r="AS193" s="1009"/>
      <c r="AT193" s="1009"/>
      <c r="AU193" s="1009"/>
      <c r="AV193" s="1009"/>
      <c r="AW193" s="1009"/>
      <c r="AX193" s="1009"/>
      <c r="AY193" s="1009"/>
      <c r="AZ193" s="1009"/>
      <c r="BA193" s="1009"/>
      <c r="BB193" s="1009"/>
      <c r="BC193" s="2141"/>
      <c r="BD193" s="2142"/>
      <c r="BE193" s="2143"/>
    </row>
    <row r="194" spans="1:57" ht="15.75" customHeight="1" thickBot="1">
      <c r="A194" s="971"/>
      <c r="B194" s="971"/>
      <c r="C194" s="2165" t="s">
        <v>1055</v>
      </c>
      <c r="D194" s="2166"/>
      <c r="E194" s="2167" t="s">
        <v>2016</v>
      </c>
      <c r="F194" s="2167"/>
      <c r="G194" s="2167"/>
      <c r="H194" s="2167"/>
      <c r="I194" s="2167"/>
      <c r="J194" s="2167"/>
      <c r="K194" s="2167"/>
      <c r="L194" s="2167"/>
      <c r="M194" s="2168"/>
      <c r="N194" s="2169">
        <v>0</v>
      </c>
      <c r="O194" s="2169"/>
      <c r="P194" s="2169"/>
      <c r="Q194" s="2169"/>
      <c r="R194" s="2169"/>
      <c r="S194" s="2169"/>
      <c r="T194" s="2170"/>
      <c r="U194" s="2171"/>
      <c r="V194" s="2172"/>
      <c r="W194" s="2172"/>
      <c r="X194" s="2172"/>
      <c r="Y194" s="2172"/>
      <c r="Z194" s="2172"/>
      <c r="AA194" s="2172"/>
      <c r="AB194" s="2172"/>
      <c r="AC194" s="2172"/>
      <c r="AD194" s="2172"/>
      <c r="AE194" s="2173"/>
      <c r="AF194" s="971"/>
      <c r="AG194" s="971"/>
      <c r="AH194" s="2174" t="s">
        <v>2032</v>
      </c>
      <c r="AI194" s="2175"/>
      <c r="AJ194" s="2175"/>
      <c r="AK194" s="2175"/>
      <c r="AL194" s="2175"/>
      <c r="AM194" s="2175"/>
      <c r="AN194" s="2175"/>
      <c r="AO194" s="2175"/>
      <c r="AP194" s="2175"/>
      <c r="AQ194" s="2175"/>
      <c r="AR194" s="2175"/>
      <c r="AS194" s="2175"/>
      <c r="AT194" s="2175"/>
      <c r="AU194" s="2176"/>
      <c r="AV194" s="2176"/>
      <c r="AW194" s="2176"/>
      <c r="AX194" s="2176"/>
      <c r="AY194" s="2176"/>
      <c r="AZ194" s="2176"/>
      <c r="BA194" s="2176"/>
      <c r="BB194" s="2176"/>
      <c r="BC194" s="952"/>
      <c r="BD194" s="952"/>
      <c r="BE194" s="1010"/>
    </row>
    <row r="195" spans="1:57" ht="15.75" customHeight="1">
      <c r="A195" s="971"/>
      <c r="B195" s="971"/>
      <c r="C195" s="2148" t="s">
        <v>2033</v>
      </c>
      <c r="D195" s="2149"/>
      <c r="E195" s="2149"/>
      <c r="F195" s="2149"/>
      <c r="G195" s="2149"/>
      <c r="H195" s="2149"/>
      <c r="I195" s="2149"/>
      <c r="J195" s="2149"/>
      <c r="K195" s="2149"/>
      <c r="L195" s="2149"/>
      <c r="M195" s="2149"/>
      <c r="N195" s="2150">
        <f>SUM(N187:T194)</f>
        <v>4355001</v>
      </c>
      <c r="O195" s="2150"/>
      <c r="P195" s="2150"/>
      <c r="Q195" s="2150"/>
      <c r="R195" s="2150"/>
      <c r="S195" s="2150"/>
      <c r="T195" s="2151"/>
      <c r="U195" s="971"/>
      <c r="V195" s="971"/>
      <c r="W195" s="971"/>
      <c r="X195" s="971"/>
      <c r="Y195" s="971"/>
      <c r="Z195" s="971"/>
      <c r="AA195" s="971"/>
      <c r="AB195" s="971"/>
      <c r="AC195" s="971"/>
      <c r="AD195" s="971"/>
      <c r="AE195" s="971"/>
      <c r="AF195" s="971"/>
      <c r="AG195" s="971"/>
      <c r="AH195" s="2152" t="s">
        <v>2034</v>
      </c>
      <c r="AI195" s="2153"/>
      <c r="AJ195" s="2153"/>
      <c r="AK195" s="2153"/>
      <c r="AL195" s="2153"/>
      <c r="AM195" s="2153"/>
      <c r="AN195" s="2153"/>
      <c r="AO195" s="2153"/>
      <c r="AP195" s="2153"/>
      <c r="AQ195" s="2153"/>
      <c r="AR195" s="2153"/>
      <c r="AS195" s="2153"/>
      <c r="AT195" s="2153"/>
      <c r="AU195" s="2153"/>
      <c r="AV195" s="2153"/>
      <c r="AW195" s="2153"/>
      <c r="AX195" s="2153"/>
      <c r="AY195" s="2153"/>
      <c r="AZ195" s="2153"/>
      <c r="BA195" s="2153"/>
      <c r="BB195" s="2153"/>
      <c r="BC195" s="2153"/>
      <c r="BD195" s="2153"/>
      <c r="BE195" s="2154"/>
    </row>
    <row r="196" spans="1:57" ht="15.75" customHeight="1" thickBot="1">
      <c r="A196" s="971"/>
      <c r="B196" s="971"/>
      <c r="C196" s="2158" t="s">
        <v>2035</v>
      </c>
      <c r="D196" s="2159"/>
      <c r="E196" s="2159"/>
      <c r="F196" s="2159"/>
      <c r="G196" s="2159"/>
      <c r="H196" s="2159"/>
      <c r="I196" s="2159"/>
      <c r="J196" s="2159"/>
      <c r="K196" s="2159"/>
      <c r="L196" s="2159"/>
      <c r="M196" s="2159"/>
      <c r="N196" s="2160">
        <f>(N185-N195)/J29</f>
        <v>730961.8113207547</v>
      </c>
      <c r="O196" s="2161"/>
      <c r="P196" s="2161"/>
      <c r="Q196" s="2161"/>
      <c r="R196" s="2161"/>
      <c r="S196" s="2161"/>
      <c r="T196" s="2162"/>
      <c r="U196" s="975"/>
      <c r="V196" s="971"/>
      <c r="W196" s="971"/>
      <c r="X196" s="971"/>
      <c r="Y196" s="971"/>
      <c r="Z196" s="971"/>
      <c r="AA196" s="971"/>
      <c r="AB196" s="971"/>
      <c r="AC196" s="971"/>
      <c r="AD196" s="971"/>
      <c r="AE196" s="971"/>
      <c r="AF196" s="971"/>
      <c r="AG196" s="971"/>
      <c r="AH196" s="2155"/>
      <c r="AI196" s="2156"/>
      <c r="AJ196" s="2156"/>
      <c r="AK196" s="2156"/>
      <c r="AL196" s="2156"/>
      <c r="AM196" s="2156"/>
      <c r="AN196" s="2156"/>
      <c r="AO196" s="2156"/>
      <c r="AP196" s="2156"/>
      <c r="AQ196" s="2156"/>
      <c r="AR196" s="2156"/>
      <c r="AS196" s="2156"/>
      <c r="AT196" s="2156"/>
      <c r="AU196" s="2156"/>
      <c r="AV196" s="2156"/>
      <c r="AW196" s="2156"/>
      <c r="AX196" s="2156"/>
      <c r="AY196" s="2156"/>
      <c r="AZ196" s="2156"/>
      <c r="BA196" s="2156"/>
      <c r="BB196" s="2156"/>
      <c r="BC196" s="2156"/>
      <c r="BD196" s="2156"/>
      <c r="BE196" s="2157"/>
    </row>
    <row r="197" spans="1:57" ht="15.75" customHeight="1">
      <c r="A197" s="971"/>
      <c r="B197" s="971"/>
      <c r="C197" s="971"/>
      <c r="D197" s="971"/>
      <c r="E197" s="971"/>
      <c r="F197" s="971"/>
      <c r="G197" s="971"/>
      <c r="H197" s="971"/>
      <c r="I197" s="971"/>
      <c r="J197" s="971"/>
      <c r="K197" s="971"/>
      <c r="L197" s="971"/>
      <c r="M197" s="971"/>
      <c r="N197" s="971"/>
      <c r="O197" s="971"/>
      <c r="P197" s="971"/>
      <c r="Q197" s="971"/>
      <c r="R197" s="971"/>
      <c r="S197" s="971"/>
      <c r="T197" s="971"/>
      <c r="U197" s="971"/>
      <c r="V197" s="971"/>
      <c r="W197" s="971"/>
      <c r="X197" s="971"/>
      <c r="Y197" s="971"/>
      <c r="Z197" s="971"/>
      <c r="AA197" s="971"/>
      <c r="AB197" s="971"/>
      <c r="AC197" s="971"/>
      <c r="AD197" s="971"/>
      <c r="AE197" s="971"/>
      <c r="AF197" s="971"/>
      <c r="AG197" s="971"/>
      <c r="AH197" s="2163"/>
      <c r="AI197" s="2163"/>
      <c r="AJ197" s="2163"/>
      <c r="AK197" s="2163"/>
      <c r="AL197" s="2163"/>
      <c r="AM197" s="2163"/>
      <c r="AN197" s="2163"/>
      <c r="AO197" s="2163"/>
      <c r="AP197" s="2163"/>
      <c r="AQ197" s="2163"/>
      <c r="AR197" s="2163"/>
      <c r="AS197" s="2164"/>
      <c r="AT197" s="2164"/>
      <c r="AU197" s="2164"/>
      <c r="AV197" s="2164"/>
      <c r="AW197" s="2164"/>
      <c r="AX197" s="2164"/>
      <c r="AY197" s="2164"/>
      <c r="AZ197" s="2164"/>
      <c r="BA197" s="2164"/>
      <c r="BB197" s="2164"/>
      <c r="BC197" s="2164"/>
      <c r="BD197" s="2164"/>
      <c r="BE197" s="974"/>
    </row>
    <row r="198" spans="1:57" ht="15.75" customHeight="1" thickBot="1">
      <c r="A198" s="971"/>
      <c r="B198" s="971"/>
      <c r="C198" s="971"/>
      <c r="D198" s="971"/>
      <c r="E198" s="971"/>
      <c r="F198" s="971"/>
      <c r="G198" s="971"/>
      <c r="H198" s="971"/>
      <c r="I198" s="971"/>
      <c r="J198" s="971"/>
      <c r="K198" s="971"/>
      <c r="L198" s="971"/>
      <c r="M198" s="971"/>
      <c r="N198" s="971"/>
      <c r="O198" s="971"/>
      <c r="P198" s="971"/>
      <c r="Q198" s="971"/>
      <c r="R198" s="971"/>
      <c r="S198" s="971"/>
      <c r="T198" s="971"/>
      <c r="U198" s="971"/>
      <c r="V198" s="971"/>
      <c r="W198" s="971"/>
      <c r="X198" s="971"/>
      <c r="Y198" s="971"/>
      <c r="Z198" s="971"/>
      <c r="AA198" s="971"/>
      <c r="AB198" s="971"/>
      <c r="AC198" s="971"/>
      <c r="AD198" s="971"/>
      <c r="AE198" s="971"/>
      <c r="AF198" s="971"/>
      <c r="AG198" s="971"/>
      <c r="AH198" s="971"/>
      <c r="AI198" s="971"/>
      <c r="AJ198" s="971"/>
      <c r="AK198" s="971"/>
      <c r="AL198" s="971"/>
      <c r="AM198" s="971"/>
      <c r="AN198" s="971"/>
      <c r="AO198" s="971"/>
      <c r="AP198" s="971"/>
      <c r="AQ198" s="971"/>
      <c r="AR198" s="971"/>
      <c r="AS198" s="971"/>
      <c r="AT198" s="971"/>
      <c r="AU198" s="971"/>
      <c r="AV198" s="971"/>
      <c r="AW198" s="971"/>
      <c r="AX198" s="971"/>
      <c r="AY198" s="971"/>
      <c r="AZ198" s="971"/>
      <c r="BA198" s="971"/>
      <c r="BB198" s="971"/>
      <c r="BC198" s="971"/>
      <c r="BD198" s="971"/>
      <c r="BE198" s="974"/>
    </row>
    <row r="199" spans="1:57" ht="15.75" customHeight="1" thickBot="1">
      <c r="A199" s="971"/>
      <c r="B199" s="971"/>
      <c r="C199" s="2182" t="s">
        <v>2036</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4"/>
      <c r="AF199" s="971"/>
      <c r="AG199" s="971"/>
      <c r="AH199" s="971"/>
      <c r="AI199" s="971"/>
      <c r="AJ199" s="971"/>
      <c r="AK199" s="971"/>
      <c r="AL199" s="971"/>
      <c r="AM199" s="971"/>
      <c r="AN199" s="971"/>
      <c r="AO199" s="971"/>
      <c r="AP199" s="971"/>
      <c r="AQ199" s="971"/>
      <c r="AR199" s="971"/>
      <c r="AS199" s="971"/>
      <c r="AT199" s="971"/>
      <c r="AU199" s="971"/>
      <c r="AV199" s="971"/>
      <c r="AW199" s="971"/>
      <c r="AX199" s="971"/>
      <c r="AY199" s="971"/>
      <c r="AZ199" s="971"/>
      <c r="BA199" s="971"/>
      <c r="BB199" s="971"/>
      <c r="BC199" s="971"/>
      <c r="BD199" s="971"/>
      <c r="BE199" s="974"/>
    </row>
    <row r="200" spans="1:57" ht="15.75" customHeight="1">
      <c r="A200" s="971"/>
      <c r="B200" s="971"/>
      <c r="C200" s="2185" t="s">
        <v>2037</v>
      </c>
      <c r="D200" s="2185"/>
      <c r="E200" s="2185"/>
      <c r="F200" s="2185"/>
      <c r="G200" s="2185"/>
      <c r="H200" s="2185"/>
      <c r="I200" s="2185"/>
      <c r="J200" s="2185"/>
      <c r="K200" s="2185"/>
      <c r="L200" s="2185"/>
      <c r="M200" s="2185"/>
      <c r="N200" s="2185"/>
      <c r="O200" s="2186" t="s">
        <v>2038</v>
      </c>
      <c r="P200" s="2186"/>
      <c r="Q200" s="2186"/>
      <c r="R200" s="2186"/>
      <c r="S200" s="2186"/>
      <c r="T200" s="2186"/>
      <c r="U200" s="2186"/>
      <c r="V200" s="2186"/>
      <c r="W200" s="2186"/>
      <c r="X200" s="2186" t="s">
        <v>2039</v>
      </c>
      <c r="Y200" s="2186"/>
      <c r="Z200" s="2186"/>
      <c r="AA200" s="2186"/>
      <c r="AB200" s="2186"/>
      <c r="AC200" s="2186"/>
      <c r="AD200" s="2186"/>
      <c r="AE200" s="2186"/>
      <c r="AF200" s="971"/>
      <c r="AG200" s="971"/>
      <c r="AH200" s="971"/>
      <c r="AI200" s="971"/>
      <c r="AJ200" s="971"/>
      <c r="AK200" s="971"/>
      <c r="AL200" s="971"/>
      <c r="AM200" s="971"/>
      <c r="AN200" s="971"/>
      <c r="AO200" s="971"/>
      <c r="AP200" s="971"/>
      <c r="AQ200" s="971"/>
      <c r="AR200" s="971"/>
      <c r="AS200" s="971"/>
      <c r="AT200" s="971"/>
      <c r="AU200" s="971"/>
      <c r="AV200" s="971"/>
      <c r="AW200" s="971"/>
      <c r="AX200" s="971"/>
      <c r="AY200" s="971"/>
      <c r="AZ200" s="971"/>
      <c r="BA200" s="971"/>
      <c r="BB200" s="971"/>
      <c r="BC200" s="971"/>
      <c r="BD200" s="971"/>
      <c r="BE200" s="974"/>
    </row>
    <row r="201" spans="1:57" ht="15.75" customHeight="1">
      <c r="A201" s="971"/>
      <c r="B201" s="971"/>
      <c r="C201" s="2177" t="s">
        <v>2040</v>
      </c>
      <c r="D201" s="2177"/>
      <c r="E201" s="2177"/>
      <c r="F201" s="2177"/>
      <c r="G201" s="2177"/>
      <c r="H201" s="2177"/>
      <c r="I201" s="2177"/>
      <c r="J201" s="2177"/>
      <c r="K201" s="2177"/>
      <c r="L201" s="2177"/>
      <c r="M201" s="2177"/>
      <c r="N201" s="2177"/>
      <c r="O201" s="2178" t="s">
        <v>2041</v>
      </c>
      <c r="P201" s="2178"/>
      <c r="Q201" s="2178"/>
      <c r="R201" s="2178"/>
      <c r="S201" s="2178"/>
      <c r="T201" s="2178"/>
      <c r="U201" s="2178"/>
      <c r="V201" s="2178"/>
      <c r="W201" s="2178"/>
      <c r="X201" s="2179">
        <v>0.03</v>
      </c>
      <c r="Y201" s="2179"/>
      <c r="Z201" s="2179"/>
      <c r="AA201" s="2179"/>
      <c r="AB201" s="2179"/>
      <c r="AC201" s="2179"/>
      <c r="AD201" s="2179"/>
      <c r="AE201" s="2179"/>
      <c r="AF201" s="971"/>
      <c r="AG201" s="971"/>
      <c r="AH201" s="971"/>
      <c r="AI201" s="971"/>
      <c r="AJ201" s="971"/>
      <c r="AK201" s="971"/>
      <c r="AL201" s="971"/>
      <c r="AM201" s="971"/>
      <c r="AN201" s="971"/>
      <c r="AO201" s="971"/>
      <c r="AP201" s="971"/>
      <c r="AQ201" s="971"/>
      <c r="AR201" s="971"/>
      <c r="AS201" s="971"/>
      <c r="AT201" s="971"/>
      <c r="AU201" s="971"/>
      <c r="AV201" s="971"/>
      <c r="AW201" s="971"/>
      <c r="AX201" s="971"/>
      <c r="AY201" s="971"/>
      <c r="AZ201" s="971"/>
      <c r="BA201" s="971"/>
      <c r="BB201" s="971"/>
      <c r="BC201" s="971"/>
      <c r="BD201" s="971"/>
      <c r="BE201" s="974"/>
    </row>
    <row r="202" spans="1:57" ht="15.75" customHeight="1">
      <c r="A202" s="971"/>
      <c r="B202" s="971"/>
      <c r="C202" s="2177" t="s">
        <v>2042</v>
      </c>
      <c r="D202" s="2177"/>
      <c r="E202" s="2177"/>
      <c r="F202" s="2177"/>
      <c r="G202" s="2177"/>
      <c r="H202" s="2177"/>
      <c r="I202" s="2177"/>
      <c r="J202" s="2177"/>
      <c r="K202" s="2177"/>
      <c r="L202" s="2177"/>
      <c r="M202" s="2177"/>
      <c r="N202" s="2177"/>
      <c r="O202" s="2178" t="s">
        <v>2041</v>
      </c>
      <c r="P202" s="2178"/>
      <c r="Q202" s="2178"/>
      <c r="R202" s="2178"/>
      <c r="S202" s="2178"/>
      <c r="T202" s="2178"/>
      <c r="U202" s="2178"/>
      <c r="V202" s="2178"/>
      <c r="W202" s="2178"/>
      <c r="X202" s="2179">
        <v>0.03</v>
      </c>
      <c r="Y202" s="2179"/>
      <c r="Z202" s="2179"/>
      <c r="AA202" s="2179"/>
      <c r="AB202" s="2179"/>
      <c r="AC202" s="2179"/>
      <c r="AD202" s="2179"/>
      <c r="AE202" s="2179"/>
      <c r="AF202" s="971"/>
      <c r="AG202" s="971"/>
      <c r="AH202" s="971"/>
      <c r="AI202" s="971"/>
      <c r="AJ202" s="971"/>
      <c r="AK202" s="971"/>
      <c r="AL202" s="971"/>
      <c r="AM202" s="971"/>
      <c r="AN202" s="971"/>
      <c r="AO202" s="971"/>
      <c r="AP202" s="971"/>
      <c r="AQ202" s="971"/>
      <c r="AR202" s="971"/>
      <c r="AS202" s="971"/>
      <c r="AT202" s="971"/>
      <c r="AU202" s="971"/>
      <c r="AV202" s="971"/>
      <c r="AW202" s="971"/>
      <c r="AX202" s="971"/>
      <c r="AY202" s="971"/>
      <c r="AZ202" s="971"/>
      <c r="BA202" s="971"/>
      <c r="BB202" s="971"/>
      <c r="BC202" s="971"/>
      <c r="BD202" s="971"/>
      <c r="BE202" s="974"/>
    </row>
    <row r="203" spans="1:57" ht="15.75" customHeight="1">
      <c r="A203" s="971"/>
      <c r="B203" s="971"/>
      <c r="C203" s="2177" t="s">
        <v>2043</v>
      </c>
      <c r="D203" s="2177"/>
      <c r="E203" s="2177"/>
      <c r="F203" s="2177"/>
      <c r="G203" s="2177"/>
      <c r="H203" s="2177"/>
      <c r="I203" s="2177"/>
      <c r="J203" s="2177"/>
      <c r="K203" s="2177"/>
      <c r="L203" s="2177"/>
      <c r="M203" s="2177"/>
      <c r="N203" s="2177"/>
      <c r="O203" s="2180">
        <f>SUM(O201:W202)</f>
        <v>0</v>
      </c>
      <c r="P203" s="2181"/>
      <c r="Q203" s="2181"/>
      <c r="R203" s="2181"/>
      <c r="S203" s="2181"/>
      <c r="T203" s="2181"/>
      <c r="U203" s="2181"/>
      <c r="V203" s="2181"/>
      <c r="W203" s="2181"/>
      <c r="X203" s="2181" t="s">
        <v>2044</v>
      </c>
      <c r="Y203" s="2181"/>
      <c r="Z203" s="2181"/>
      <c r="AA203" s="2181"/>
      <c r="AB203" s="2181"/>
      <c r="AC203" s="2181"/>
      <c r="AD203" s="2181"/>
      <c r="AE203" s="2181"/>
      <c r="AF203" s="971"/>
      <c r="AG203" s="971"/>
      <c r="AH203" s="971"/>
      <c r="AI203" s="971"/>
      <c r="AJ203" s="971"/>
      <c r="AK203" s="971"/>
      <c r="AL203" s="971"/>
      <c r="AM203" s="971"/>
      <c r="AN203" s="971"/>
      <c r="AO203" s="971"/>
      <c r="AP203" s="971"/>
      <c r="AQ203" s="971"/>
      <c r="AR203" s="971"/>
      <c r="AS203" s="971"/>
      <c r="AT203" s="971"/>
      <c r="AU203" s="971"/>
      <c r="AV203" s="971"/>
      <c r="AW203" s="971"/>
      <c r="AX203" s="971"/>
      <c r="AY203" s="971"/>
      <c r="AZ203" s="971"/>
      <c r="BA203" s="971"/>
      <c r="BB203" s="971"/>
      <c r="BC203" s="971"/>
      <c r="BD203" s="971"/>
      <c r="BE203" s="974"/>
    </row>
    <row r="204" spans="1:57" ht="15.75" customHeight="1">
      <c r="A204" s="971"/>
      <c r="B204" s="971"/>
      <c r="C204" s="2187" t="s">
        <v>2045</v>
      </c>
      <c r="D204" s="2187"/>
      <c r="E204" s="2187"/>
      <c r="F204" s="2187"/>
      <c r="G204" s="2187"/>
      <c r="H204" s="2187"/>
      <c r="I204" s="2187"/>
      <c r="J204" s="2187"/>
      <c r="K204" s="2187"/>
      <c r="L204" s="2187"/>
      <c r="M204" s="2187"/>
      <c r="N204" s="2187"/>
      <c r="O204" s="2187"/>
      <c r="P204" s="2187"/>
      <c r="Q204" s="2187"/>
      <c r="R204" s="2187"/>
      <c r="S204" s="2187"/>
      <c r="T204" s="2187"/>
      <c r="U204" s="2187"/>
      <c r="V204" s="2187"/>
      <c r="W204" s="2187"/>
      <c r="X204" s="2187"/>
      <c r="Y204" s="2187"/>
      <c r="Z204" s="2187"/>
      <c r="AA204" s="2187"/>
      <c r="AB204" s="2187"/>
      <c r="AC204" s="2187"/>
      <c r="AD204" s="2187"/>
      <c r="AE204" s="2187"/>
      <c r="AF204" s="971"/>
      <c r="AG204" s="971"/>
      <c r="AH204" s="971"/>
      <c r="AI204" s="971"/>
      <c r="AJ204" s="971"/>
      <c r="AK204" s="971"/>
      <c r="AL204" s="971"/>
      <c r="AM204" s="971"/>
      <c r="AN204" s="971"/>
      <c r="AO204" s="971"/>
      <c r="AP204" s="971"/>
      <c r="AQ204" s="971"/>
      <c r="AR204" s="971"/>
      <c r="AS204" s="971"/>
      <c r="AT204" s="971"/>
      <c r="AU204" s="971"/>
      <c r="AV204" s="971"/>
      <c r="AW204" s="971"/>
      <c r="AX204" s="971"/>
      <c r="AY204" s="971"/>
      <c r="AZ204" s="971"/>
      <c r="BA204" s="971"/>
      <c r="BB204" s="971"/>
      <c r="BC204" s="971"/>
      <c r="BD204" s="971"/>
      <c r="BE204" s="974"/>
    </row>
    <row r="205" spans="1:57" ht="15.75" customHeight="1" thickBot="1">
      <c r="A205" s="971"/>
      <c r="B205" s="971"/>
      <c r="C205" s="971"/>
      <c r="D205" s="971"/>
      <c r="E205" s="971"/>
      <c r="F205" s="971"/>
      <c r="G205" s="971"/>
      <c r="H205" s="971"/>
      <c r="I205" s="971"/>
      <c r="J205" s="971"/>
      <c r="K205" s="971"/>
      <c r="L205" s="971"/>
      <c r="M205" s="971"/>
      <c r="N205" s="971"/>
      <c r="O205" s="971"/>
      <c r="P205" s="971"/>
      <c r="Q205" s="971"/>
      <c r="R205" s="971"/>
      <c r="S205" s="971"/>
      <c r="T205" s="971"/>
      <c r="U205" s="971"/>
      <c r="V205" s="971"/>
      <c r="W205" s="971"/>
      <c r="X205" s="971"/>
      <c r="Y205" s="971"/>
      <c r="Z205" s="971"/>
      <c r="AA205" s="971"/>
      <c r="AB205" s="971"/>
      <c r="AC205" s="971"/>
      <c r="AD205" s="971"/>
      <c r="AE205" s="971"/>
      <c r="AF205" s="971"/>
      <c r="AG205" s="971"/>
      <c r="AH205" s="971"/>
      <c r="AI205" s="971"/>
      <c r="AJ205" s="971"/>
      <c r="AK205" s="971"/>
      <c r="AL205" s="971"/>
      <c r="AM205" s="971"/>
      <c r="AN205" s="971"/>
      <c r="AO205" s="971"/>
      <c r="AP205" s="971"/>
      <c r="AQ205" s="971"/>
      <c r="AR205" s="971"/>
      <c r="AS205" s="971"/>
      <c r="AT205" s="971"/>
      <c r="AU205" s="971"/>
      <c r="AV205" s="971"/>
      <c r="AW205" s="971"/>
      <c r="AX205" s="971"/>
      <c r="AY205" s="971"/>
      <c r="AZ205" s="971"/>
      <c r="BA205" s="971"/>
      <c r="BB205" s="971"/>
      <c r="BC205" s="971"/>
      <c r="BD205" s="971"/>
      <c r="BE205" s="974"/>
    </row>
    <row r="206" spans="1:57" ht="15.75" customHeight="1" thickBot="1">
      <c r="A206" s="971"/>
      <c r="B206" s="971"/>
      <c r="C206" s="2188" t="s">
        <v>2046</v>
      </c>
      <c r="D206" s="2189"/>
      <c r="E206" s="2189"/>
      <c r="F206" s="2189"/>
      <c r="G206" s="2189"/>
      <c r="H206" s="2189"/>
      <c r="I206" s="2189"/>
      <c r="J206" s="2189"/>
      <c r="K206" s="2189"/>
      <c r="L206" s="2189"/>
      <c r="M206" s="2189"/>
      <c r="N206" s="2189"/>
      <c r="O206" s="2189"/>
      <c r="P206" s="2189"/>
      <c r="Q206" s="2189"/>
      <c r="R206" s="2189"/>
      <c r="S206" s="2189"/>
      <c r="T206" s="2189"/>
      <c r="U206" s="2189"/>
      <c r="V206" s="2189"/>
      <c r="W206" s="2189"/>
      <c r="X206" s="2189"/>
      <c r="Y206" s="2189"/>
      <c r="Z206" s="2189"/>
      <c r="AA206" s="2189"/>
      <c r="AB206" s="2189"/>
      <c r="AC206" s="2189"/>
      <c r="AD206" s="2189"/>
      <c r="AE206" s="2189"/>
      <c r="AF206" s="2189"/>
      <c r="AG206" s="2189"/>
      <c r="AH206" s="2189"/>
      <c r="AI206" s="2189"/>
      <c r="AJ206" s="2189"/>
      <c r="AK206" s="2190"/>
      <c r="AL206" s="971"/>
      <c r="AM206" s="971"/>
      <c r="AN206" s="971"/>
      <c r="AO206" s="971"/>
      <c r="AP206" s="971"/>
      <c r="AQ206" s="971"/>
      <c r="AR206" s="971"/>
      <c r="AS206" s="971"/>
      <c r="AT206" s="971"/>
      <c r="AU206" s="971"/>
      <c r="AV206" s="971"/>
      <c r="AW206" s="971"/>
      <c r="AX206" s="971"/>
      <c r="AY206" s="971"/>
      <c r="AZ206" s="971"/>
      <c r="BA206" s="971"/>
      <c r="BB206" s="971"/>
      <c r="BC206" s="971"/>
      <c r="BD206" s="971"/>
      <c r="BE206" s="974"/>
    </row>
    <row r="207" spans="1:57" ht="15.75" customHeight="1">
      <c r="A207" s="971"/>
      <c r="B207" s="971"/>
      <c r="C207" s="2191" t="s">
        <v>2047</v>
      </c>
      <c r="D207" s="2192"/>
      <c r="E207" s="2192"/>
      <c r="F207" s="2193"/>
      <c r="G207" s="2197" t="s">
        <v>2048</v>
      </c>
      <c r="H207" s="2192"/>
      <c r="I207" s="2192"/>
      <c r="J207" s="2192"/>
      <c r="K207" s="2192"/>
      <c r="L207" s="2192"/>
      <c r="M207" s="2192"/>
      <c r="N207" s="2192"/>
      <c r="O207" s="2193"/>
      <c r="P207" s="2199" t="s">
        <v>2049</v>
      </c>
      <c r="Q207" s="2200"/>
      <c r="R207" s="2200"/>
      <c r="S207" s="2200"/>
      <c r="T207" s="2201"/>
      <c r="U207" s="2205" t="s">
        <v>2050</v>
      </c>
      <c r="V207" s="2206"/>
      <c r="W207" s="2206"/>
      <c r="X207" s="2207"/>
      <c r="Y207" s="2205" t="s">
        <v>2051</v>
      </c>
      <c r="Z207" s="2206"/>
      <c r="AA207" s="2206"/>
      <c r="AB207" s="2207"/>
      <c r="AC207" s="2205" t="s">
        <v>2052</v>
      </c>
      <c r="AD207" s="2206"/>
      <c r="AE207" s="2206"/>
      <c r="AF207" s="2207"/>
      <c r="AG207" s="2197" t="s">
        <v>2053</v>
      </c>
      <c r="AH207" s="2192"/>
      <c r="AI207" s="2192"/>
      <c r="AJ207" s="2192"/>
      <c r="AK207" s="2211"/>
      <c r="AL207" s="971"/>
      <c r="AM207" s="971"/>
      <c r="AN207" s="971"/>
      <c r="AO207" s="971"/>
      <c r="AP207" s="971"/>
      <c r="AQ207" s="971"/>
      <c r="AR207" s="971"/>
      <c r="AS207" s="971"/>
      <c r="AT207" s="971"/>
      <c r="AU207" s="971"/>
      <c r="AV207" s="971"/>
      <c r="AW207" s="971"/>
      <c r="AX207" s="971"/>
      <c r="AY207" s="971"/>
      <c r="AZ207" s="971"/>
      <c r="BA207" s="971"/>
      <c r="BB207" s="971"/>
      <c r="BC207" s="971"/>
      <c r="BD207" s="971"/>
      <c r="BE207" s="974"/>
    </row>
    <row r="208" spans="1:57" ht="15.75" customHeight="1">
      <c r="A208" s="971"/>
      <c r="B208" s="971"/>
      <c r="C208" s="2194"/>
      <c r="D208" s="2195"/>
      <c r="E208" s="2195"/>
      <c r="F208" s="2196"/>
      <c r="G208" s="2198"/>
      <c r="H208" s="2195"/>
      <c r="I208" s="2195"/>
      <c r="J208" s="2195"/>
      <c r="K208" s="2195"/>
      <c r="L208" s="2195"/>
      <c r="M208" s="2195"/>
      <c r="N208" s="2195"/>
      <c r="O208" s="2196"/>
      <c r="P208" s="2202"/>
      <c r="Q208" s="2203"/>
      <c r="R208" s="2203"/>
      <c r="S208" s="2203"/>
      <c r="T208" s="2204"/>
      <c r="U208" s="2208"/>
      <c r="V208" s="2209"/>
      <c r="W208" s="2209"/>
      <c r="X208" s="2210"/>
      <c r="Y208" s="2208"/>
      <c r="Z208" s="2209"/>
      <c r="AA208" s="2209"/>
      <c r="AB208" s="2210"/>
      <c r="AC208" s="2208"/>
      <c r="AD208" s="2209"/>
      <c r="AE208" s="2209"/>
      <c r="AF208" s="2210"/>
      <c r="AG208" s="2198"/>
      <c r="AH208" s="2195"/>
      <c r="AI208" s="2195"/>
      <c r="AJ208" s="2195"/>
      <c r="AK208" s="2212"/>
      <c r="AL208" s="971"/>
      <c r="AM208" s="971"/>
      <c r="AN208" s="971"/>
      <c r="AO208" s="971"/>
      <c r="AP208" s="971"/>
      <c r="AQ208" s="971"/>
      <c r="AR208" s="971"/>
      <c r="AS208" s="971"/>
      <c r="AT208" s="971"/>
      <c r="AU208" s="971"/>
      <c r="AV208" s="971"/>
      <c r="AW208" s="971"/>
      <c r="AX208" s="971"/>
      <c r="AY208" s="971"/>
      <c r="AZ208" s="971"/>
      <c r="BA208" s="971"/>
      <c r="BB208" s="971"/>
      <c r="BC208" s="971"/>
      <c r="BD208" s="971"/>
      <c r="BE208" s="974"/>
    </row>
    <row r="209" spans="1:57" ht="15.75" customHeight="1">
      <c r="A209" s="971"/>
      <c r="B209" s="971"/>
      <c r="C209" s="2216">
        <v>1</v>
      </c>
      <c r="D209" s="2217"/>
      <c r="E209" s="2217"/>
      <c r="F209" s="2217"/>
      <c r="G209" s="2218" t="s">
        <v>2054</v>
      </c>
      <c r="H209" s="2218"/>
      <c r="I209" s="2218"/>
      <c r="J209" s="2218"/>
      <c r="K209" s="2218"/>
      <c r="L209" s="2218"/>
      <c r="M209" s="2218"/>
      <c r="N209" s="2218"/>
      <c r="O209" s="2218"/>
      <c r="P209" s="2219"/>
      <c r="Q209" s="2222"/>
      <c r="R209" s="2222"/>
      <c r="S209" s="2222"/>
      <c r="T209" s="2222"/>
      <c r="U209" s="2220" t="s">
        <v>2054</v>
      </c>
      <c r="V209" s="2220"/>
      <c r="W209" s="2220"/>
      <c r="X209" s="2220"/>
      <c r="Y209" s="2220" t="s">
        <v>2054</v>
      </c>
      <c r="Z209" s="2220"/>
      <c r="AA209" s="2220"/>
      <c r="AB209" s="2220"/>
      <c r="AC209" s="2221" t="s">
        <v>2054</v>
      </c>
      <c r="AD209" s="2221"/>
      <c r="AE209" s="2221"/>
      <c r="AF209" s="2221"/>
      <c r="AG209" s="2213"/>
      <c r="AH209" s="2214"/>
      <c r="AI209" s="2214"/>
      <c r="AJ209" s="2214"/>
      <c r="AK209" s="2215"/>
      <c r="AL209" s="971"/>
      <c r="AM209" s="971"/>
      <c r="AN209" s="971"/>
      <c r="AO209" s="971"/>
      <c r="AP209" s="971"/>
      <c r="AQ209" s="971"/>
      <c r="AR209" s="971"/>
      <c r="AS209" s="971"/>
      <c r="AT209" s="971"/>
      <c r="AU209" s="971"/>
      <c r="AV209" s="971"/>
      <c r="AW209" s="971"/>
      <c r="AX209" s="971"/>
      <c r="AY209" s="971"/>
      <c r="AZ209" s="971"/>
      <c r="BA209" s="971"/>
      <c r="BB209" s="971"/>
      <c r="BC209" s="971"/>
      <c r="BD209" s="971"/>
      <c r="BE209" s="974"/>
    </row>
    <row r="210" spans="1:57" ht="15.75" customHeight="1">
      <c r="A210" s="971"/>
      <c r="B210" s="971"/>
      <c r="C210" s="2216">
        <v>2</v>
      </c>
      <c r="D210" s="2217"/>
      <c r="E210" s="2217"/>
      <c r="F210" s="2217"/>
      <c r="G210" s="2218" t="s">
        <v>2054</v>
      </c>
      <c r="H210" s="2218"/>
      <c r="I210" s="2218"/>
      <c r="J210" s="2218"/>
      <c r="K210" s="2218"/>
      <c r="L210" s="2218"/>
      <c r="M210" s="2218"/>
      <c r="N210" s="2218"/>
      <c r="O210" s="2218"/>
      <c r="P210" s="2219"/>
      <c r="Q210" s="2219"/>
      <c r="R210" s="2219"/>
      <c r="S210" s="2219"/>
      <c r="T210" s="2219"/>
      <c r="U210" s="2220" t="s">
        <v>2054</v>
      </c>
      <c r="V210" s="2220"/>
      <c r="W210" s="2220"/>
      <c r="X210" s="2220"/>
      <c r="Y210" s="2220" t="s">
        <v>2054</v>
      </c>
      <c r="Z210" s="2220"/>
      <c r="AA210" s="2220"/>
      <c r="AB210" s="2220"/>
      <c r="AC210" s="2221" t="s">
        <v>2054</v>
      </c>
      <c r="AD210" s="2221"/>
      <c r="AE210" s="2221"/>
      <c r="AF210" s="2221"/>
      <c r="AG210" s="2213"/>
      <c r="AH210" s="2214"/>
      <c r="AI210" s="2214"/>
      <c r="AJ210" s="2214"/>
      <c r="AK210" s="2215"/>
      <c r="AL210" s="971"/>
      <c r="AM210" s="971"/>
      <c r="AN210" s="971"/>
      <c r="AO210" s="971"/>
      <c r="AP210" s="971"/>
      <c r="AQ210" s="971"/>
      <c r="AR210" s="971"/>
      <c r="AS210" s="971"/>
      <c r="AT210" s="971"/>
      <c r="AU210" s="971"/>
      <c r="AV210" s="971"/>
      <c r="AW210" s="971"/>
      <c r="AX210" s="971"/>
      <c r="AY210" s="971"/>
      <c r="AZ210" s="971"/>
      <c r="BA210" s="971"/>
      <c r="BB210" s="971"/>
      <c r="BC210" s="971"/>
      <c r="BD210" s="971"/>
      <c r="BE210" s="974"/>
    </row>
    <row r="211" spans="1:57" ht="15.75" customHeight="1">
      <c r="A211" s="971"/>
      <c r="B211" s="971"/>
      <c r="C211" s="2216">
        <v>3</v>
      </c>
      <c r="D211" s="2217"/>
      <c r="E211" s="2217"/>
      <c r="F211" s="2217"/>
      <c r="G211" s="2218" t="s">
        <v>2054</v>
      </c>
      <c r="H211" s="2218"/>
      <c r="I211" s="2218"/>
      <c r="J211" s="2218"/>
      <c r="K211" s="2218"/>
      <c r="L211" s="2218"/>
      <c r="M211" s="2218"/>
      <c r="N211" s="2218"/>
      <c r="O211" s="2218"/>
      <c r="P211" s="2219"/>
      <c r="Q211" s="2219"/>
      <c r="R211" s="2219"/>
      <c r="S211" s="2219"/>
      <c r="T211" s="2219"/>
      <c r="U211" s="2220" t="s">
        <v>2054</v>
      </c>
      <c r="V211" s="2220"/>
      <c r="W211" s="2220"/>
      <c r="X211" s="2220"/>
      <c r="Y211" s="2220" t="s">
        <v>2054</v>
      </c>
      <c r="Z211" s="2220"/>
      <c r="AA211" s="2220"/>
      <c r="AB211" s="2220"/>
      <c r="AC211" s="2221" t="s">
        <v>2054</v>
      </c>
      <c r="AD211" s="2221"/>
      <c r="AE211" s="2221"/>
      <c r="AF211" s="2221"/>
      <c r="AG211" s="2213"/>
      <c r="AH211" s="2214"/>
      <c r="AI211" s="2214"/>
      <c r="AJ211" s="2214"/>
      <c r="AK211" s="2215"/>
      <c r="AL211" s="971"/>
      <c r="AM211" s="971"/>
      <c r="AN211" s="971"/>
      <c r="AO211" s="971"/>
      <c r="AP211" s="971"/>
      <c r="AQ211" s="971"/>
      <c r="AR211" s="971"/>
      <c r="AS211" s="971"/>
      <c r="AT211" s="971"/>
      <c r="AU211" s="971"/>
      <c r="AV211" s="971"/>
      <c r="AW211" s="971"/>
      <c r="AX211" s="971"/>
      <c r="AY211" s="971"/>
      <c r="AZ211" s="971"/>
      <c r="BA211" s="971"/>
      <c r="BB211" s="971"/>
      <c r="BC211" s="971"/>
      <c r="BD211" s="971"/>
      <c r="BE211" s="974"/>
    </row>
    <row r="212" spans="1:57" ht="15.75" customHeight="1">
      <c r="A212" s="971"/>
      <c r="B212" s="971"/>
      <c r="C212" s="2216">
        <v>4</v>
      </c>
      <c r="D212" s="2217"/>
      <c r="E212" s="2217"/>
      <c r="F212" s="2217"/>
      <c r="G212" s="2218" t="s">
        <v>2054</v>
      </c>
      <c r="H212" s="2218"/>
      <c r="I212" s="2218"/>
      <c r="J212" s="2218"/>
      <c r="K212" s="2218"/>
      <c r="L212" s="2218"/>
      <c r="M212" s="2218"/>
      <c r="N212" s="2218"/>
      <c r="O212" s="2218"/>
      <c r="P212" s="2219"/>
      <c r="Q212" s="2219"/>
      <c r="R212" s="2219"/>
      <c r="S212" s="2219"/>
      <c r="T212" s="2219"/>
      <c r="U212" s="2220" t="s">
        <v>2054</v>
      </c>
      <c r="V212" s="2220"/>
      <c r="W212" s="2220"/>
      <c r="X212" s="2220"/>
      <c r="Y212" s="2220" t="s">
        <v>2054</v>
      </c>
      <c r="Z212" s="2220"/>
      <c r="AA212" s="2220"/>
      <c r="AB212" s="2220"/>
      <c r="AC212" s="2221" t="s">
        <v>2054</v>
      </c>
      <c r="AD212" s="2221"/>
      <c r="AE212" s="2221"/>
      <c r="AF212" s="2221"/>
      <c r="AG212" s="2213"/>
      <c r="AH212" s="2214"/>
      <c r="AI212" s="2214"/>
      <c r="AJ212" s="2214"/>
      <c r="AK212" s="2215"/>
      <c r="AL212" s="971"/>
      <c r="AM212" s="971"/>
      <c r="AN212" s="971"/>
      <c r="AO212" s="971"/>
      <c r="AP212" s="971"/>
      <c r="AQ212" s="971"/>
      <c r="AR212" s="971"/>
      <c r="AS212" s="971"/>
      <c r="AT212" s="971"/>
      <c r="AU212" s="971"/>
      <c r="AV212" s="971"/>
      <c r="AW212" s="971"/>
      <c r="AX212" s="971"/>
      <c r="AY212" s="971"/>
      <c r="AZ212" s="971"/>
      <c r="BA212" s="971"/>
      <c r="BB212" s="971"/>
      <c r="BC212" s="971"/>
      <c r="BD212" s="971"/>
      <c r="BE212" s="974"/>
    </row>
    <row r="213" spans="1:57" ht="15.75" customHeight="1">
      <c r="A213" s="971"/>
      <c r="B213" s="971"/>
      <c r="C213" s="2216">
        <v>5</v>
      </c>
      <c r="D213" s="2217"/>
      <c r="E213" s="2217"/>
      <c r="F213" s="2217"/>
      <c r="G213" s="2218" t="s">
        <v>2054</v>
      </c>
      <c r="H213" s="2218"/>
      <c r="I213" s="2218"/>
      <c r="J213" s="2218"/>
      <c r="K213" s="2218"/>
      <c r="L213" s="2218"/>
      <c r="M213" s="2218"/>
      <c r="N213" s="2218"/>
      <c r="O213" s="2218"/>
      <c r="P213" s="2219"/>
      <c r="Q213" s="2219"/>
      <c r="R213" s="2219"/>
      <c r="S213" s="2219"/>
      <c r="T213" s="2219"/>
      <c r="U213" s="2220" t="s">
        <v>2054</v>
      </c>
      <c r="V213" s="2220"/>
      <c r="W213" s="2220"/>
      <c r="X213" s="2220"/>
      <c r="Y213" s="2220" t="s">
        <v>2054</v>
      </c>
      <c r="Z213" s="2220"/>
      <c r="AA213" s="2220"/>
      <c r="AB213" s="2220"/>
      <c r="AC213" s="2221" t="s">
        <v>2054</v>
      </c>
      <c r="AD213" s="2221"/>
      <c r="AE213" s="2221"/>
      <c r="AF213" s="2221"/>
      <c r="AG213" s="2213"/>
      <c r="AH213" s="2214"/>
      <c r="AI213" s="2214"/>
      <c r="AJ213" s="2214"/>
      <c r="AK213" s="2215"/>
      <c r="AL213" s="971"/>
      <c r="AM213" s="971"/>
      <c r="AN213" s="971"/>
      <c r="AO213" s="971"/>
      <c r="AP213" s="971"/>
      <c r="AQ213" s="971"/>
      <c r="AR213" s="971"/>
      <c r="AS213" s="971"/>
      <c r="AT213" s="971"/>
      <c r="AU213" s="971"/>
      <c r="AV213" s="971"/>
      <c r="AW213" s="971"/>
      <c r="AX213" s="971"/>
      <c r="AY213" s="971"/>
      <c r="AZ213" s="971"/>
      <c r="BA213" s="971"/>
      <c r="BB213" s="971"/>
      <c r="BC213" s="971"/>
      <c r="BD213" s="971"/>
      <c r="BE213" s="974"/>
    </row>
    <row r="214" spans="1:57" ht="15.75" customHeight="1">
      <c r="A214" s="971"/>
      <c r="B214" s="971"/>
      <c r="C214" s="2216">
        <v>6</v>
      </c>
      <c r="D214" s="2217"/>
      <c r="E214" s="2217"/>
      <c r="F214" s="2217"/>
      <c r="G214" s="2218" t="s">
        <v>2054</v>
      </c>
      <c r="H214" s="2218"/>
      <c r="I214" s="2218"/>
      <c r="J214" s="2218"/>
      <c r="K214" s="2218"/>
      <c r="L214" s="2218"/>
      <c r="M214" s="2218"/>
      <c r="N214" s="2218"/>
      <c r="O214" s="2218"/>
      <c r="P214" s="2219"/>
      <c r="Q214" s="2219"/>
      <c r="R214" s="2219"/>
      <c r="S214" s="2219"/>
      <c r="T214" s="2219"/>
      <c r="U214" s="2220"/>
      <c r="V214" s="2220"/>
      <c r="W214" s="2220"/>
      <c r="X214" s="2220"/>
      <c r="Y214" s="2220"/>
      <c r="Z214" s="2220"/>
      <c r="AA214" s="2220"/>
      <c r="AB214" s="2220"/>
      <c r="AC214" s="2221" t="s">
        <v>2054</v>
      </c>
      <c r="AD214" s="2221"/>
      <c r="AE214" s="2221"/>
      <c r="AF214" s="2221"/>
      <c r="AG214" s="2213"/>
      <c r="AH214" s="2214"/>
      <c r="AI214" s="2214"/>
      <c r="AJ214" s="2214"/>
      <c r="AK214" s="2215"/>
      <c r="AL214" s="971"/>
      <c r="AM214" s="971"/>
      <c r="AN214" s="971"/>
      <c r="AO214" s="971"/>
      <c r="AP214" s="971"/>
      <c r="AQ214" s="971"/>
      <c r="AR214" s="971"/>
      <c r="AS214" s="971"/>
      <c r="AT214" s="971"/>
      <c r="AU214" s="971"/>
      <c r="AV214" s="971"/>
      <c r="AW214" s="971"/>
      <c r="AX214" s="971"/>
      <c r="AY214" s="971"/>
      <c r="AZ214" s="971"/>
      <c r="BA214" s="971"/>
      <c r="BB214" s="971"/>
      <c r="BC214" s="971"/>
      <c r="BD214" s="971"/>
      <c r="BE214" s="974"/>
    </row>
    <row r="215" spans="1:57" ht="15.75" customHeight="1">
      <c r="A215" s="971"/>
      <c r="B215" s="971"/>
      <c r="C215" s="2216">
        <v>7</v>
      </c>
      <c r="D215" s="2217"/>
      <c r="E215" s="2217"/>
      <c r="F215" s="2217"/>
      <c r="G215" s="2218"/>
      <c r="H215" s="2218"/>
      <c r="I215" s="2218"/>
      <c r="J215" s="2218"/>
      <c r="K215" s="2218"/>
      <c r="L215" s="2218"/>
      <c r="M215" s="2218"/>
      <c r="N215" s="2218"/>
      <c r="O215" s="2218"/>
      <c r="P215" s="2219"/>
      <c r="Q215" s="2219"/>
      <c r="R215" s="2219"/>
      <c r="S215" s="2219"/>
      <c r="T215" s="2219"/>
      <c r="U215" s="2220"/>
      <c r="V215" s="2220"/>
      <c r="W215" s="2220"/>
      <c r="X215" s="2220"/>
      <c r="Y215" s="2220"/>
      <c r="Z215" s="2220"/>
      <c r="AA215" s="2220"/>
      <c r="AB215" s="2220"/>
      <c r="AC215" s="2221" t="s">
        <v>2054</v>
      </c>
      <c r="AD215" s="2221"/>
      <c r="AE215" s="2221"/>
      <c r="AF215" s="2221"/>
      <c r="AG215" s="2213"/>
      <c r="AH215" s="2214"/>
      <c r="AI215" s="2214"/>
      <c r="AJ215" s="2214"/>
      <c r="AK215" s="2215"/>
      <c r="AL215" s="971"/>
      <c r="AM215" s="971"/>
      <c r="AN215" s="971"/>
      <c r="AO215" s="971"/>
      <c r="AP215" s="971"/>
      <c r="AQ215" s="971"/>
      <c r="AR215" s="971"/>
      <c r="AS215" s="971"/>
      <c r="AT215" s="971"/>
      <c r="AU215" s="971"/>
      <c r="AV215" s="971"/>
      <c r="AW215" s="971"/>
      <c r="AX215" s="971"/>
      <c r="AY215" s="971"/>
      <c r="AZ215" s="971"/>
      <c r="BA215" s="971"/>
      <c r="BB215" s="971"/>
      <c r="BC215" s="971"/>
      <c r="BD215" s="971"/>
      <c r="BE215" s="974"/>
    </row>
    <row r="216" spans="1:57" ht="15.75" customHeight="1">
      <c r="A216" s="971"/>
      <c r="B216" s="971"/>
      <c r="C216" s="2235" t="s">
        <v>2055</v>
      </c>
      <c r="D216" s="2236"/>
      <c r="E216" s="2236"/>
      <c r="F216" s="2236"/>
      <c r="G216" s="2236"/>
      <c r="H216" s="2236"/>
      <c r="I216" s="2236"/>
      <c r="J216" s="2236"/>
      <c r="K216" s="2236"/>
      <c r="L216" s="2236"/>
      <c r="M216" s="2236"/>
      <c r="N216" s="2236"/>
      <c r="O216" s="2236"/>
      <c r="P216" s="2237"/>
      <c r="Q216" s="2237"/>
      <c r="R216" s="2237"/>
      <c r="S216" s="2237"/>
      <c r="T216" s="2237"/>
      <c r="U216" s="2238">
        <v>0</v>
      </c>
      <c r="V216" s="2238"/>
      <c r="W216" s="2238"/>
      <c r="X216" s="2238"/>
      <c r="Y216" s="2238">
        <v>0</v>
      </c>
      <c r="Z216" s="2238"/>
      <c r="AA216" s="2238"/>
      <c r="AB216" s="2238"/>
      <c r="AC216" s="2239">
        <v>0</v>
      </c>
      <c r="AD216" s="2239"/>
      <c r="AE216" s="2239"/>
      <c r="AF216" s="2239"/>
      <c r="AG216" s="2240"/>
      <c r="AH216" s="2241"/>
      <c r="AI216" s="2241"/>
      <c r="AJ216" s="2241"/>
      <c r="AK216" s="2242"/>
      <c r="AL216" s="971"/>
      <c r="AM216" s="971"/>
      <c r="AN216" s="971"/>
      <c r="AO216" s="971"/>
      <c r="AP216" s="971"/>
      <c r="AQ216" s="971"/>
      <c r="AR216" s="971"/>
      <c r="AS216" s="971"/>
      <c r="AT216" s="971"/>
      <c r="AU216" s="971"/>
      <c r="AV216" s="971"/>
      <c r="AW216" s="971"/>
      <c r="AX216" s="971"/>
      <c r="AY216" s="971"/>
      <c r="AZ216" s="971"/>
      <c r="BA216" s="971"/>
      <c r="BB216" s="971"/>
      <c r="BC216" s="971"/>
      <c r="BD216" s="971"/>
      <c r="BE216" s="974"/>
    </row>
    <row r="217" spans="1:57" ht="15.75" customHeight="1">
      <c r="A217" s="971"/>
      <c r="B217" s="971"/>
      <c r="C217" s="971" t="s">
        <v>2056</v>
      </c>
      <c r="D217" s="971"/>
      <c r="E217" s="971"/>
      <c r="F217" s="971"/>
      <c r="G217" s="971"/>
      <c r="H217" s="971"/>
      <c r="I217" s="971"/>
      <c r="J217" s="971"/>
      <c r="K217" s="971"/>
      <c r="L217" s="971"/>
      <c r="M217" s="971"/>
      <c r="N217" s="971"/>
      <c r="O217" s="971"/>
      <c r="P217" s="971"/>
      <c r="Q217" s="971"/>
      <c r="R217" s="971"/>
      <c r="S217" s="971"/>
      <c r="T217" s="971"/>
      <c r="U217" s="971"/>
      <c r="V217" s="971"/>
      <c r="W217" s="971"/>
      <c r="X217" s="971"/>
      <c r="Y217" s="971"/>
      <c r="Z217" s="971"/>
      <c r="AA217" s="971"/>
      <c r="AB217" s="971"/>
      <c r="AC217" s="971"/>
      <c r="AD217" s="971"/>
      <c r="AE217" s="971"/>
      <c r="AF217" s="971"/>
      <c r="AG217" s="971"/>
      <c r="AH217" s="971"/>
      <c r="AI217" s="971"/>
      <c r="AJ217" s="971"/>
      <c r="AK217" s="971"/>
      <c r="AL217" s="971"/>
      <c r="AM217" s="971"/>
      <c r="AN217" s="971"/>
      <c r="AO217" s="971"/>
      <c r="AP217" s="971"/>
      <c r="AQ217" s="971"/>
      <c r="AR217" s="971"/>
      <c r="AS217" s="971"/>
      <c r="AT217" s="971"/>
      <c r="AU217" s="971"/>
      <c r="AV217" s="971"/>
      <c r="AW217" s="971"/>
      <c r="AX217" s="971"/>
      <c r="AY217" s="971"/>
      <c r="AZ217" s="971"/>
      <c r="BA217" s="971"/>
      <c r="BB217" s="971"/>
      <c r="BC217" s="971"/>
      <c r="BD217" s="971"/>
      <c r="BE217" s="974"/>
    </row>
    <row r="218" spans="1:57" ht="15.75" customHeight="1">
      <c r="A218" s="971"/>
      <c r="B218" s="971"/>
      <c r="C218" s="971"/>
      <c r="D218" s="971"/>
      <c r="E218" s="971"/>
      <c r="F218" s="971"/>
      <c r="G218" s="971"/>
      <c r="H218" s="971"/>
      <c r="I218" s="971"/>
      <c r="J218" s="971"/>
      <c r="K218" s="971"/>
      <c r="L218" s="971"/>
      <c r="M218" s="971"/>
      <c r="N218" s="971"/>
      <c r="O218" s="971"/>
      <c r="P218" s="971"/>
      <c r="Q218" s="971"/>
      <c r="R218" s="971"/>
      <c r="S218" s="971"/>
      <c r="T218" s="971"/>
      <c r="U218" s="971"/>
      <c r="V218" s="971"/>
      <c r="W218" s="971"/>
      <c r="X218" s="971"/>
      <c r="Y218" s="971"/>
      <c r="Z218" s="971"/>
      <c r="AA218" s="971"/>
      <c r="AB218" s="971"/>
      <c r="AC218" s="971"/>
      <c r="AD218" s="971"/>
      <c r="AE218" s="971"/>
      <c r="AF218" s="971"/>
      <c r="AG218" s="971"/>
      <c r="AH218" s="971"/>
      <c r="AI218" s="971"/>
      <c r="AJ218" s="971"/>
      <c r="AK218" s="971"/>
      <c r="AL218" s="971"/>
      <c r="AM218" s="971"/>
      <c r="AN218" s="971"/>
      <c r="AO218" s="971"/>
      <c r="AP218" s="971"/>
      <c r="AQ218" s="971"/>
      <c r="AR218" s="971"/>
      <c r="AS218" s="971"/>
      <c r="AT218" s="971"/>
      <c r="AU218" s="971"/>
      <c r="AV218" s="971"/>
      <c r="AW218" s="971"/>
      <c r="AX218" s="971"/>
      <c r="AY218" s="971"/>
      <c r="AZ218" s="971"/>
      <c r="BA218" s="971"/>
      <c r="BB218" s="971"/>
      <c r="BC218" s="971"/>
      <c r="BD218" s="971"/>
      <c r="BE218" s="974"/>
    </row>
    <row r="219" spans="1:57" ht="15.75" customHeight="1">
      <c r="A219" s="971"/>
      <c r="B219" s="971"/>
      <c r="C219" s="971"/>
      <c r="D219" s="971"/>
      <c r="E219" s="971"/>
      <c r="F219" s="971"/>
      <c r="G219" s="971"/>
      <c r="H219" s="971"/>
      <c r="I219" s="971"/>
      <c r="J219" s="971"/>
      <c r="K219" s="971"/>
      <c r="L219" s="971"/>
      <c r="M219" s="971"/>
      <c r="N219" s="971"/>
      <c r="O219" s="971"/>
      <c r="P219" s="971"/>
      <c r="Q219" s="971"/>
      <c r="R219" s="971"/>
      <c r="S219" s="971"/>
      <c r="T219" s="971"/>
      <c r="U219" s="971"/>
      <c r="V219" s="971"/>
      <c r="W219" s="971"/>
      <c r="X219" s="971"/>
      <c r="Y219" s="971"/>
      <c r="Z219" s="971"/>
      <c r="AA219" s="971"/>
      <c r="AB219" s="971"/>
      <c r="AC219" s="971"/>
      <c r="AD219" s="971"/>
      <c r="AE219" s="971"/>
      <c r="AF219" s="971"/>
      <c r="AG219" s="971"/>
      <c r="AH219" s="971"/>
      <c r="AI219" s="971"/>
      <c r="AJ219" s="971"/>
      <c r="AK219" s="971"/>
      <c r="AL219" s="971"/>
      <c r="AM219" s="971"/>
      <c r="AN219" s="971"/>
      <c r="AO219" s="971"/>
      <c r="AP219" s="971"/>
      <c r="AQ219" s="971"/>
      <c r="AR219" s="971"/>
      <c r="AS219" s="971"/>
      <c r="AT219" s="971"/>
      <c r="AU219" s="971"/>
      <c r="AV219" s="971"/>
      <c r="AW219" s="971"/>
      <c r="AX219" s="971"/>
      <c r="AY219" s="971"/>
      <c r="AZ219" s="971"/>
      <c r="BA219" s="971"/>
      <c r="BB219" s="971"/>
      <c r="BC219" s="971"/>
      <c r="BD219" s="971"/>
      <c r="BE219" s="974"/>
    </row>
    <row r="220" spans="1:57" ht="15.75" customHeight="1" thickBot="1">
      <c r="A220" s="971"/>
      <c r="B220" s="971"/>
      <c r="C220" s="971"/>
      <c r="D220" s="971"/>
      <c r="E220" s="971"/>
      <c r="F220" s="971"/>
      <c r="G220" s="971"/>
      <c r="H220" s="971"/>
      <c r="I220" s="971"/>
      <c r="J220" s="971"/>
      <c r="K220" s="971"/>
      <c r="L220" s="971"/>
      <c r="M220" s="971"/>
      <c r="N220" s="971"/>
      <c r="O220" s="971"/>
      <c r="P220" s="971"/>
      <c r="Q220" s="971"/>
      <c r="R220" s="971"/>
      <c r="S220" s="971"/>
      <c r="T220" s="971"/>
      <c r="U220" s="971"/>
      <c r="V220" s="971"/>
      <c r="W220" s="971"/>
      <c r="X220" s="971"/>
      <c r="Y220" s="971"/>
      <c r="Z220" s="971"/>
      <c r="AA220" s="971"/>
      <c r="AB220" s="971"/>
      <c r="AC220" s="971"/>
      <c r="AD220" s="971"/>
      <c r="AE220" s="971"/>
      <c r="AF220" s="971"/>
      <c r="AG220" s="971"/>
      <c r="AH220" s="971"/>
      <c r="AI220" s="971"/>
      <c r="AJ220" s="971"/>
      <c r="AK220" s="971"/>
      <c r="AL220" s="971"/>
      <c r="AM220" s="971"/>
      <c r="AN220" s="971"/>
      <c r="AO220" s="971"/>
      <c r="AP220" s="971"/>
      <c r="AQ220" s="971"/>
      <c r="AR220" s="971"/>
      <c r="AS220" s="971"/>
      <c r="AT220" s="971"/>
      <c r="AU220" s="971"/>
      <c r="AV220" s="971"/>
      <c r="AW220" s="971"/>
      <c r="AX220" s="971"/>
      <c r="AY220" s="971"/>
      <c r="AZ220" s="971"/>
      <c r="BA220" s="971"/>
      <c r="BB220" s="971"/>
      <c r="BC220" s="971"/>
      <c r="BD220" s="971"/>
      <c r="BE220" s="974"/>
    </row>
    <row r="221" spans="1:57" ht="15.75" customHeight="1">
      <c r="A221" s="971"/>
      <c r="B221" s="2223" t="s">
        <v>2057</v>
      </c>
      <c r="C221" s="2224"/>
      <c r="D221" s="2224"/>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2224"/>
      <c r="AD221" s="2224"/>
      <c r="AE221" s="2224"/>
      <c r="AF221" s="2224"/>
      <c r="AG221" s="2224"/>
      <c r="AH221" s="2224"/>
      <c r="AI221" s="2224"/>
      <c r="AJ221" s="2224"/>
      <c r="AK221" s="2224"/>
      <c r="AL221" s="2224"/>
      <c r="AM221" s="2224"/>
      <c r="AN221" s="2224"/>
      <c r="AO221" s="2224"/>
      <c r="AP221" s="2224"/>
      <c r="AQ221" s="2224"/>
      <c r="AR221" s="2224"/>
      <c r="AS221" s="2224"/>
      <c r="AT221" s="2224"/>
      <c r="AU221" s="2224"/>
      <c r="AV221" s="2224"/>
      <c r="AW221" s="2224"/>
      <c r="AX221" s="2224"/>
      <c r="AY221" s="2224"/>
      <c r="AZ221" s="2224"/>
      <c r="BA221" s="2224"/>
      <c r="BB221" s="2224"/>
      <c r="BC221" s="2224"/>
      <c r="BD221" s="2225"/>
      <c r="BE221" s="974"/>
    </row>
    <row r="222" spans="1:57" ht="15.75" customHeight="1">
      <c r="A222" s="971"/>
      <c r="B222" s="2226"/>
      <c r="C222" s="2227"/>
      <c r="D222" s="2227"/>
      <c r="E222" s="2227"/>
      <c r="F222" s="2227"/>
      <c r="G222" s="2227"/>
      <c r="H222" s="2227"/>
      <c r="I222" s="2227"/>
      <c r="J222" s="2227"/>
      <c r="K222" s="2227"/>
      <c r="L222" s="2227"/>
      <c r="M222" s="2227"/>
      <c r="N222" s="2227"/>
      <c r="O222" s="2227"/>
      <c r="P222" s="2227"/>
      <c r="Q222" s="2227"/>
      <c r="R222" s="2227"/>
      <c r="S222" s="2227"/>
      <c r="T222" s="2227"/>
      <c r="U222" s="2227"/>
      <c r="V222" s="2227"/>
      <c r="W222" s="2227"/>
      <c r="X222" s="2227"/>
      <c r="Y222" s="2227"/>
      <c r="Z222" s="2227"/>
      <c r="AA222" s="2227"/>
      <c r="AB222" s="2227"/>
      <c r="AC222" s="2227"/>
      <c r="AD222" s="2227"/>
      <c r="AE222" s="2227"/>
      <c r="AF222" s="2227"/>
      <c r="AG222" s="2227"/>
      <c r="AH222" s="2227"/>
      <c r="AI222" s="2227"/>
      <c r="AJ222" s="2227"/>
      <c r="AK222" s="2227"/>
      <c r="AL222" s="2227"/>
      <c r="AM222" s="2227"/>
      <c r="AN222" s="2227"/>
      <c r="AO222" s="2227"/>
      <c r="AP222" s="2227"/>
      <c r="AQ222" s="2227"/>
      <c r="AR222" s="2227"/>
      <c r="AS222" s="2227"/>
      <c r="AT222" s="2227"/>
      <c r="AU222" s="2227"/>
      <c r="AV222" s="2227"/>
      <c r="AW222" s="2227"/>
      <c r="AX222" s="2227"/>
      <c r="AY222" s="2227"/>
      <c r="AZ222" s="2227"/>
      <c r="BA222" s="2227"/>
      <c r="BB222" s="2227"/>
      <c r="BC222" s="2227"/>
      <c r="BD222" s="2228"/>
      <c r="BE222" s="974"/>
    </row>
    <row r="223" spans="1:57" ht="15.75" customHeight="1">
      <c r="A223" s="971"/>
      <c r="B223" s="2229" t="s">
        <v>2058</v>
      </c>
      <c r="C223" s="2230"/>
      <c r="D223" s="2230"/>
      <c r="E223" s="2230"/>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2230"/>
      <c r="AD223" s="2230"/>
      <c r="AE223" s="2230"/>
      <c r="AF223" s="2230"/>
      <c r="AG223" s="2230"/>
      <c r="AH223" s="2230"/>
      <c r="AI223" s="2230"/>
      <c r="AJ223" s="2230"/>
      <c r="AK223" s="2230"/>
      <c r="AL223" s="2230"/>
      <c r="AM223" s="2230"/>
      <c r="AN223" s="2230"/>
      <c r="AO223" s="2230"/>
      <c r="AP223" s="2230"/>
      <c r="AQ223" s="2230"/>
      <c r="AR223" s="2230"/>
      <c r="AS223" s="2230"/>
      <c r="AT223" s="2230"/>
      <c r="AU223" s="2230"/>
      <c r="AV223" s="2230"/>
      <c r="AW223" s="2230"/>
      <c r="AX223" s="2230"/>
      <c r="AY223" s="2230"/>
      <c r="AZ223" s="2230"/>
      <c r="BA223" s="2230"/>
      <c r="BB223" s="2230"/>
      <c r="BC223" s="2230"/>
      <c r="BD223" s="2231"/>
      <c r="BE223" s="974"/>
    </row>
    <row r="224" spans="1:57" ht="15.75" customHeight="1">
      <c r="A224" s="971"/>
      <c r="B224" s="2229" t="s">
        <v>2059</v>
      </c>
      <c r="C224" s="2230"/>
      <c r="D224" s="2230"/>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230"/>
      <c r="AD224" s="2230"/>
      <c r="AE224" s="2230"/>
      <c r="AF224" s="2230"/>
      <c r="AG224" s="2230"/>
      <c r="AH224" s="2230"/>
      <c r="AI224" s="2230"/>
      <c r="AJ224" s="2230"/>
      <c r="AK224" s="2230"/>
      <c r="AL224" s="2230"/>
      <c r="AM224" s="2230"/>
      <c r="AN224" s="2230"/>
      <c r="AO224" s="2230"/>
      <c r="AP224" s="2230"/>
      <c r="AQ224" s="2230"/>
      <c r="AR224" s="2230"/>
      <c r="AS224" s="2230"/>
      <c r="AT224" s="2230"/>
      <c r="AU224" s="2230"/>
      <c r="AV224" s="2230"/>
      <c r="AW224" s="2230"/>
      <c r="AX224" s="2230"/>
      <c r="AY224" s="2230"/>
      <c r="AZ224" s="2230"/>
      <c r="BA224" s="2230"/>
      <c r="BB224" s="2230"/>
      <c r="BC224" s="2230"/>
      <c r="BD224" s="2231"/>
      <c r="BE224" s="974"/>
    </row>
    <row r="225" spans="1:57" ht="15.75" customHeight="1">
      <c r="A225" s="971"/>
      <c r="B225" s="970"/>
      <c r="C225" s="971"/>
      <c r="D225" s="971"/>
      <c r="E225" s="971"/>
      <c r="F225" s="971"/>
      <c r="G225" s="971"/>
      <c r="H225" s="971"/>
      <c r="I225" s="971"/>
      <c r="J225" s="971"/>
      <c r="K225" s="971"/>
      <c r="L225" s="971"/>
      <c r="M225" s="971"/>
      <c r="N225" s="971"/>
      <c r="O225" s="971"/>
      <c r="P225" s="971"/>
      <c r="Q225" s="971"/>
      <c r="R225" s="971"/>
      <c r="S225" s="971"/>
      <c r="T225" s="971"/>
      <c r="U225" s="971"/>
      <c r="V225" s="971"/>
      <c r="W225" s="971"/>
      <c r="X225" s="971"/>
      <c r="Y225" s="971"/>
      <c r="Z225" s="971"/>
      <c r="AA225" s="971"/>
      <c r="AB225" s="971"/>
      <c r="AC225" s="971"/>
      <c r="AD225" s="971"/>
      <c r="AE225" s="971"/>
      <c r="AF225" s="971"/>
      <c r="AG225" s="971"/>
      <c r="AH225" s="971"/>
      <c r="AI225" s="971"/>
      <c r="AJ225" s="971"/>
      <c r="AK225" s="971"/>
      <c r="AL225" s="971"/>
      <c r="AM225" s="971"/>
      <c r="AN225" s="971"/>
      <c r="AO225" s="971"/>
      <c r="AP225" s="971"/>
      <c r="AQ225" s="971"/>
      <c r="AR225" s="971"/>
      <c r="AS225" s="971"/>
      <c r="AT225" s="971"/>
      <c r="AU225" s="971"/>
      <c r="AV225" s="971"/>
      <c r="AW225" s="971"/>
      <c r="AX225" s="971"/>
      <c r="AY225" s="971"/>
      <c r="AZ225" s="971"/>
      <c r="BA225" s="971"/>
      <c r="BB225" s="971"/>
      <c r="BC225" s="971"/>
      <c r="BD225" s="974"/>
      <c r="BE225" s="974"/>
    </row>
    <row r="226" spans="1:57" ht="15.75" customHeight="1">
      <c r="A226" s="971"/>
      <c r="B226" s="2232" t="s">
        <v>2060</v>
      </c>
      <c r="C226" s="2122"/>
      <c r="D226" s="2122"/>
      <c r="E226" s="2122"/>
      <c r="F226" s="2122"/>
      <c r="G226" s="2122"/>
      <c r="H226" s="2122"/>
      <c r="I226" s="2122"/>
      <c r="J226" s="2122"/>
      <c r="K226" s="2122"/>
      <c r="L226" s="2122"/>
      <c r="M226" s="2122"/>
      <c r="N226" s="2122"/>
      <c r="O226" s="2122"/>
      <c r="P226" s="2122"/>
      <c r="Q226" s="2122"/>
      <c r="R226" s="2122"/>
      <c r="S226" s="2122"/>
      <c r="T226" s="2122"/>
      <c r="U226" s="2122"/>
      <c r="V226" s="2122"/>
      <c r="W226" s="2122"/>
      <c r="X226" s="2122"/>
      <c r="Y226" s="2122"/>
      <c r="Z226" s="2122"/>
      <c r="AA226" s="2122"/>
      <c r="AB226" s="2122"/>
      <c r="AC226" s="2122"/>
      <c r="AD226" s="2122"/>
      <c r="AE226" s="2122"/>
      <c r="AF226" s="2122"/>
      <c r="AG226" s="2122"/>
      <c r="AH226" s="2122"/>
      <c r="AI226" s="2122"/>
      <c r="AJ226" s="2122"/>
      <c r="AK226" s="2122"/>
      <c r="AL226" s="2122"/>
      <c r="AM226" s="2122"/>
      <c r="AN226" s="2122"/>
      <c r="AO226" s="2122"/>
      <c r="AP226" s="2122"/>
      <c r="AQ226" s="2122"/>
      <c r="AR226" s="2122"/>
      <c r="AS226" s="2122"/>
      <c r="AT226" s="2122"/>
      <c r="AU226" s="2122"/>
      <c r="AV226" s="2122"/>
      <c r="AW226" s="2122"/>
      <c r="AX226" s="2122"/>
      <c r="AY226" s="2122"/>
      <c r="AZ226" s="2122"/>
      <c r="BA226" s="2122"/>
      <c r="BB226" s="2122"/>
      <c r="BC226" s="2122"/>
      <c r="BD226" s="2233"/>
      <c r="BE226" s="974"/>
    </row>
    <row r="227" spans="1:57" ht="15.75" customHeight="1">
      <c r="A227" s="971"/>
      <c r="B227" s="1011"/>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c r="AR227" s="971"/>
      <c r="AS227" s="971"/>
      <c r="AT227" s="971"/>
      <c r="AU227" s="971"/>
      <c r="AV227" s="971"/>
      <c r="AW227" s="971"/>
      <c r="AX227" s="971"/>
      <c r="AY227" s="971"/>
      <c r="AZ227" s="971"/>
      <c r="BA227" s="971"/>
      <c r="BB227" s="971"/>
      <c r="BC227" s="971"/>
      <c r="BD227" s="974"/>
      <c r="BE227" s="974"/>
    </row>
    <row r="228" spans="1:57" ht="15.75" customHeight="1">
      <c r="A228" s="971"/>
      <c r="B228" s="1012"/>
      <c r="C228" s="971"/>
      <c r="D228" s="971"/>
      <c r="E228" s="971"/>
      <c r="F228" s="971"/>
      <c r="G228" s="971"/>
      <c r="H228" s="972" t="s">
        <v>2061</v>
      </c>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c r="AR228" s="971"/>
      <c r="AS228" s="971"/>
      <c r="AT228" s="971"/>
      <c r="AU228" s="971"/>
      <c r="AV228" s="971"/>
      <c r="AW228" s="971"/>
      <c r="AX228" s="971"/>
      <c r="AY228" s="971"/>
      <c r="AZ228" s="971"/>
      <c r="BA228" s="971"/>
      <c r="BB228" s="971"/>
      <c r="BC228" s="971"/>
      <c r="BD228" s="974"/>
      <c r="BE228" s="974"/>
    </row>
    <row r="229" spans="1:57" ht="15.75" customHeight="1">
      <c r="A229" s="971"/>
      <c r="B229" s="1012"/>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c r="AR229" s="971"/>
      <c r="AS229" s="971"/>
      <c r="AT229" s="971"/>
      <c r="AU229" s="971"/>
      <c r="AV229" s="971"/>
      <c r="AW229" s="971"/>
      <c r="AX229" s="971"/>
      <c r="AY229" s="971"/>
      <c r="AZ229" s="971"/>
      <c r="BA229" s="971"/>
      <c r="BB229" s="971"/>
      <c r="BC229" s="971"/>
      <c r="BD229" s="974"/>
      <c r="BE229" s="974"/>
    </row>
    <row r="230" spans="1:57" ht="15.75" customHeight="1">
      <c r="A230" s="971"/>
      <c r="B230" s="1012"/>
      <c r="C230" s="971"/>
      <c r="D230" s="971"/>
      <c r="E230" s="971"/>
      <c r="F230" s="971"/>
      <c r="G230" s="971"/>
      <c r="H230" s="2234" t="s">
        <v>2062</v>
      </c>
      <c r="I230" s="2234"/>
      <c r="J230" s="2234"/>
      <c r="K230" s="2234"/>
      <c r="L230" s="2234"/>
      <c r="M230" s="2234"/>
      <c r="N230" s="2234"/>
      <c r="O230" s="2234"/>
      <c r="P230" s="2234"/>
      <c r="Q230" s="2234"/>
      <c r="R230" s="2234"/>
      <c r="S230" s="2234"/>
      <c r="T230" s="2234"/>
      <c r="U230" s="2234"/>
      <c r="V230" s="2234"/>
      <c r="W230" s="2234"/>
      <c r="X230" s="2234"/>
      <c r="Y230" s="2234"/>
      <c r="Z230" s="2234"/>
      <c r="AA230" s="2234"/>
      <c r="AB230" s="2234"/>
      <c r="AC230" s="2234"/>
      <c r="AD230" s="2234"/>
      <c r="AE230" s="2234"/>
      <c r="AF230" s="2234"/>
      <c r="AG230" s="2234"/>
      <c r="AH230" s="2234"/>
      <c r="AI230" s="2234"/>
      <c r="AJ230" s="2234"/>
      <c r="AK230" s="2234"/>
      <c r="AL230" s="2234"/>
      <c r="AM230" s="2234"/>
      <c r="AN230" s="2234"/>
      <c r="AO230" s="2234"/>
      <c r="AP230" s="2234"/>
      <c r="AQ230" s="2234"/>
      <c r="AR230" s="2234"/>
      <c r="AS230" s="2234"/>
      <c r="AT230" s="2234"/>
      <c r="AU230" s="2234"/>
      <c r="AV230" s="2234"/>
      <c r="AW230" s="2234"/>
      <c r="AX230" s="2234"/>
      <c r="AY230" s="2234"/>
      <c r="AZ230" s="971"/>
      <c r="BA230" s="971"/>
      <c r="BB230" s="971"/>
      <c r="BC230" s="971"/>
      <c r="BD230" s="974"/>
      <c r="BE230" s="974"/>
    </row>
    <row r="231" spans="1:57" ht="15.75" customHeight="1">
      <c r="A231" s="971"/>
      <c r="B231" s="1012"/>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c r="AR231" s="971"/>
      <c r="AS231" s="971"/>
      <c r="AT231" s="971"/>
      <c r="AU231" s="971"/>
      <c r="AV231" s="971"/>
      <c r="AW231" s="971"/>
      <c r="AX231" s="971"/>
      <c r="AY231" s="971"/>
      <c r="AZ231" s="971"/>
      <c r="BA231" s="971"/>
      <c r="BB231" s="971"/>
      <c r="BC231" s="971"/>
      <c r="BD231" s="974"/>
      <c r="BE231" s="974"/>
    </row>
    <row r="232" spans="1:57" ht="15.75" customHeight="1">
      <c r="A232" s="971"/>
      <c r="B232" s="1012"/>
      <c r="C232" s="971"/>
      <c r="D232" s="971"/>
      <c r="E232" s="971"/>
      <c r="F232" s="971"/>
      <c r="G232" s="971"/>
      <c r="H232" s="2252" t="s">
        <v>2063</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2252"/>
      <c r="AX232" s="2252"/>
      <c r="AY232" s="2252"/>
      <c r="AZ232" s="2252"/>
      <c r="BA232" s="971"/>
      <c r="BB232" s="971"/>
      <c r="BC232" s="971"/>
      <c r="BD232" s="974"/>
      <c r="BE232" s="974"/>
    </row>
    <row r="233" spans="1:57" ht="15.75" customHeight="1">
      <c r="A233" s="971"/>
      <c r="B233" s="970"/>
      <c r="C233" s="971"/>
      <c r="D233" s="971"/>
      <c r="E233" s="971"/>
      <c r="F233" s="971"/>
      <c r="G233" s="971"/>
      <c r="H233" s="2252"/>
      <c r="I233" s="2252"/>
      <c r="J233" s="2252"/>
      <c r="K233" s="2252"/>
      <c r="L233" s="2252"/>
      <c r="M233" s="2252"/>
      <c r="N233" s="2252"/>
      <c r="O233" s="2252"/>
      <c r="P233" s="2252"/>
      <c r="Q233" s="2252"/>
      <c r="R233" s="2252"/>
      <c r="S233" s="2252"/>
      <c r="T233" s="2252"/>
      <c r="U233" s="2252"/>
      <c r="V233" s="2252"/>
      <c r="W233" s="2252"/>
      <c r="X233" s="2252"/>
      <c r="Y233" s="2252"/>
      <c r="Z233" s="2252"/>
      <c r="AA233" s="2252"/>
      <c r="AB233" s="2252"/>
      <c r="AC233" s="2252"/>
      <c r="AD233" s="2252"/>
      <c r="AE233" s="2252"/>
      <c r="AF233" s="2252"/>
      <c r="AG233" s="2252"/>
      <c r="AH233" s="2252"/>
      <c r="AI233" s="2252"/>
      <c r="AJ233" s="2252"/>
      <c r="AK233" s="2252"/>
      <c r="AL233" s="2252"/>
      <c r="AM233" s="2252"/>
      <c r="AN233" s="2252"/>
      <c r="AO233" s="2252"/>
      <c r="AP233" s="2252"/>
      <c r="AQ233" s="2252"/>
      <c r="AR233" s="2252"/>
      <c r="AS233" s="2252"/>
      <c r="AT233" s="2252"/>
      <c r="AU233" s="2252"/>
      <c r="AV233" s="2252"/>
      <c r="AW233" s="2252"/>
      <c r="AX233" s="2252"/>
      <c r="AY233" s="2252"/>
      <c r="AZ233" s="2252"/>
      <c r="BA233" s="971"/>
      <c r="BB233" s="971"/>
      <c r="BC233" s="971"/>
      <c r="BD233" s="974"/>
      <c r="BE233" s="974"/>
    </row>
    <row r="234" spans="1:57" ht="15.75" customHeight="1">
      <c r="A234" s="971"/>
      <c r="B234" s="970"/>
      <c r="C234" s="971"/>
      <c r="D234" s="971"/>
      <c r="E234" s="971"/>
      <c r="F234" s="971"/>
      <c r="G234" s="971"/>
      <c r="H234" s="2252"/>
      <c r="I234" s="2252"/>
      <c r="J234" s="2252"/>
      <c r="K234" s="2252"/>
      <c r="L234" s="2252"/>
      <c r="M234" s="2252"/>
      <c r="N234" s="2252"/>
      <c r="O234" s="2252"/>
      <c r="P234" s="2252"/>
      <c r="Q234" s="2252"/>
      <c r="R234" s="2252"/>
      <c r="S234" s="2252"/>
      <c r="T234" s="2252"/>
      <c r="U234" s="2252"/>
      <c r="V234" s="2252"/>
      <c r="W234" s="2252"/>
      <c r="X234" s="2252"/>
      <c r="Y234" s="2252"/>
      <c r="Z234" s="2252"/>
      <c r="AA234" s="2252"/>
      <c r="AB234" s="2252"/>
      <c r="AC234" s="2252"/>
      <c r="AD234" s="2252"/>
      <c r="AE234" s="2252"/>
      <c r="AF234" s="2252"/>
      <c r="AG234" s="2252"/>
      <c r="AH234" s="2252"/>
      <c r="AI234" s="2252"/>
      <c r="AJ234" s="2252"/>
      <c r="AK234" s="2252"/>
      <c r="AL234" s="2252"/>
      <c r="AM234" s="2252"/>
      <c r="AN234" s="2252"/>
      <c r="AO234" s="2252"/>
      <c r="AP234" s="2252"/>
      <c r="AQ234" s="2252"/>
      <c r="AR234" s="2252"/>
      <c r="AS234" s="2252"/>
      <c r="AT234" s="2252"/>
      <c r="AU234" s="2252"/>
      <c r="AV234" s="2252"/>
      <c r="AW234" s="2252"/>
      <c r="AX234" s="2252"/>
      <c r="AY234" s="2252"/>
      <c r="AZ234" s="2252"/>
      <c r="BA234" s="971"/>
      <c r="BB234" s="971"/>
      <c r="BC234" s="971"/>
      <c r="BD234" s="974"/>
      <c r="BE234" s="974"/>
    </row>
    <row r="235" spans="1:57" ht="15.75" customHeight="1">
      <c r="A235" s="971"/>
      <c r="B235" s="970"/>
      <c r="C235" s="971"/>
      <c r="D235" s="971"/>
      <c r="E235" s="971"/>
      <c r="F235" s="971"/>
      <c r="G235" s="971"/>
      <c r="H235" s="2252"/>
      <c r="I235" s="2252"/>
      <c r="J235" s="2252"/>
      <c r="K235" s="2252"/>
      <c r="L235" s="2252"/>
      <c r="M235" s="2252"/>
      <c r="N235" s="2252"/>
      <c r="O235" s="2252"/>
      <c r="P235" s="2252"/>
      <c r="Q235" s="2252"/>
      <c r="R235" s="2252"/>
      <c r="S235" s="2252"/>
      <c r="T235" s="2252"/>
      <c r="U235" s="2252"/>
      <c r="V235" s="2252"/>
      <c r="W235" s="2252"/>
      <c r="X235" s="2252"/>
      <c r="Y235" s="2252"/>
      <c r="Z235" s="2252"/>
      <c r="AA235" s="2252"/>
      <c r="AB235" s="2252"/>
      <c r="AC235" s="2252"/>
      <c r="AD235" s="2252"/>
      <c r="AE235" s="2252"/>
      <c r="AF235" s="2252"/>
      <c r="AG235" s="2252"/>
      <c r="AH235" s="2252"/>
      <c r="AI235" s="2252"/>
      <c r="AJ235" s="2252"/>
      <c r="AK235" s="2252"/>
      <c r="AL235" s="2252"/>
      <c r="AM235" s="2252"/>
      <c r="AN235" s="2252"/>
      <c r="AO235" s="2252"/>
      <c r="AP235" s="2252"/>
      <c r="AQ235" s="2252"/>
      <c r="AR235" s="2252"/>
      <c r="AS235" s="2252"/>
      <c r="AT235" s="2252"/>
      <c r="AU235" s="2252"/>
      <c r="AV235" s="2252"/>
      <c r="AW235" s="2252"/>
      <c r="AX235" s="2252"/>
      <c r="AY235" s="2252"/>
      <c r="AZ235" s="2252"/>
      <c r="BA235" s="971"/>
      <c r="BB235" s="971"/>
      <c r="BC235" s="971"/>
      <c r="BD235" s="974"/>
      <c r="BE235" s="974"/>
    </row>
    <row r="236" spans="1:57" ht="15.75" customHeight="1">
      <c r="A236" s="971"/>
      <c r="B236" s="970"/>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c r="AR236" s="971"/>
      <c r="AS236" s="971"/>
      <c r="AT236" s="971"/>
      <c r="AU236" s="971"/>
      <c r="AV236" s="971"/>
      <c r="AW236" s="971"/>
      <c r="AX236" s="971"/>
      <c r="AY236" s="971"/>
      <c r="AZ236" s="971"/>
      <c r="BA236" s="971"/>
      <c r="BB236" s="971"/>
      <c r="BC236" s="971"/>
      <c r="BD236" s="974"/>
      <c r="BE236" s="974"/>
    </row>
    <row r="237" spans="1:57" ht="15.75" customHeight="1" thickBot="1">
      <c r="A237" s="971"/>
      <c r="B237" s="1013"/>
      <c r="C237" s="1014"/>
      <c r="D237" s="1014"/>
      <c r="E237" s="1014"/>
      <c r="F237" s="1014"/>
      <c r="G237" s="1014"/>
      <c r="H237" s="2253" t="s">
        <v>2064</v>
      </c>
      <c r="I237" s="2253"/>
      <c r="J237" s="2253"/>
      <c r="K237" s="2253"/>
      <c r="L237" s="2253"/>
      <c r="M237" s="2253"/>
      <c r="N237" s="2253"/>
      <c r="O237" s="2253"/>
      <c r="P237" s="2253"/>
      <c r="Q237" s="2253"/>
      <c r="R237" s="2253"/>
      <c r="S237" s="2253"/>
      <c r="T237" s="2253"/>
      <c r="U237" s="2253"/>
      <c r="V237" s="2253"/>
      <c r="W237" s="2253"/>
      <c r="X237" s="2253"/>
      <c r="Y237" s="2253"/>
      <c r="Z237" s="2253"/>
      <c r="AA237" s="2253"/>
      <c r="AB237" s="2253"/>
      <c r="AC237" s="2253"/>
      <c r="AD237" s="2253"/>
      <c r="AE237" s="2253"/>
      <c r="AF237" s="2253"/>
      <c r="AG237" s="2253"/>
      <c r="AH237" s="2253"/>
      <c r="AI237" s="2253"/>
      <c r="AJ237" s="2253"/>
      <c r="AK237" s="2253"/>
      <c r="AL237" s="2253"/>
      <c r="AM237" s="2253"/>
      <c r="AN237" s="2253"/>
      <c r="AO237" s="2253"/>
      <c r="AP237" s="2253"/>
      <c r="AQ237" s="2253"/>
      <c r="AR237" s="2253"/>
      <c r="AS237" s="2253"/>
      <c r="AT237" s="2253"/>
      <c r="AU237" s="2253"/>
      <c r="AV237" s="2253"/>
      <c r="AW237" s="1014"/>
      <c r="AX237" s="1014"/>
      <c r="AY237" s="1014"/>
      <c r="AZ237" s="1014"/>
      <c r="BA237" s="1014"/>
      <c r="BB237" s="1014"/>
      <c r="BC237" s="1014"/>
      <c r="BD237" s="1015"/>
      <c r="BE237" s="974"/>
    </row>
    <row r="238" spans="1:57" ht="15.75" customHeight="1" thickBot="1">
      <c r="A238" s="971"/>
      <c r="B238" s="1016"/>
      <c r="C238" s="1017"/>
      <c r="D238" s="1017"/>
      <c r="E238" s="1017"/>
      <c r="F238" s="1017"/>
      <c r="G238" s="1017"/>
      <c r="H238" s="1017"/>
      <c r="I238" s="1017"/>
      <c r="J238" s="1017"/>
      <c r="K238" s="1017"/>
      <c r="L238" s="1017"/>
      <c r="M238" s="1017"/>
      <c r="N238" s="1017"/>
      <c r="O238" s="1017"/>
      <c r="P238" s="1017"/>
      <c r="Q238" s="1017"/>
      <c r="R238" s="1017"/>
      <c r="S238" s="1017"/>
      <c r="T238" s="1017"/>
      <c r="U238" s="1017"/>
      <c r="V238" s="1017"/>
      <c r="W238" s="1017"/>
      <c r="X238" s="1017"/>
      <c r="Y238" s="1017"/>
      <c r="Z238" s="1017"/>
      <c r="AA238" s="1017"/>
      <c r="AB238" s="1017"/>
      <c r="AC238" s="1017"/>
      <c r="AD238" s="1017"/>
      <c r="AE238" s="1017"/>
      <c r="AF238" s="1017"/>
      <c r="AG238" s="1017"/>
      <c r="AH238" s="1017"/>
      <c r="AI238" s="1017"/>
      <c r="AJ238" s="1017"/>
      <c r="AK238" s="1017"/>
      <c r="AL238" s="1017"/>
      <c r="AM238" s="1017"/>
      <c r="AN238" s="1017"/>
      <c r="AO238" s="1017"/>
      <c r="AP238" s="1017"/>
      <c r="AQ238" s="1017"/>
      <c r="AR238" s="1017"/>
      <c r="AS238" s="1017"/>
      <c r="AT238" s="1017"/>
      <c r="AU238" s="1017"/>
      <c r="AV238" s="1017"/>
      <c r="AW238" s="1017"/>
      <c r="AX238" s="1017"/>
      <c r="AY238" s="1017"/>
      <c r="AZ238" s="1017"/>
      <c r="BA238" s="1017"/>
      <c r="BB238" s="1017"/>
      <c r="BC238" s="1017"/>
      <c r="BD238" s="1018"/>
      <c r="BE238" s="974"/>
    </row>
    <row r="239" spans="1:57" ht="30" customHeight="1" thickBot="1">
      <c r="A239" s="971"/>
      <c r="B239" s="1016"/>
      <c r="C239" s="1017"/>
      <c r="D239" s="1017"/>
      <c r="E239" s="1017"/>
      <c r="F239" s="1017"/>
      <c r="G239" s="1017"/>
      <c r="H239" s="2243" t="s">
        <v>2065</v>
      </c>
      <c r="I239" s="2243"/>
      <c r="J239" s="2243"/>
      <c r="K239" s="2243"/>
      <c r="L239" s="1017"/>
      <c r="M239" s="1017"/>
      <c r="N239" s="1017"/>
      <c r="O239" s="1017"/>
      <c r="P239" s="1017"/>
      <c r="Q239" s="1017"/>
      <c r="R239" s="1017"/>
      <c r="S239" s="2254"/>
      <c r="T239" s="2255"/>
      <c r="U239" s="2255"/>
      <c r="V239" s="2255"/>
      <c r="W239" s="2255"/>
      <c r="X239" s="2255"/>
      <c r="Y239" s="2255"/>
      <c r="Z239" s="2255"/>
      <c r="AA239" s="2255"/>
      <c r="AB239" s="2255"/>
      <c r="AC239" s="2255"/>
      <c r="AD239" s="2255"/>
      <c r="AE239" s="2255"/>
      <c r="AF239" s="2255"/>
      <c r="AG239" s="2255"/>
      <c r="AH239" s="2255"/>
      <c r="AI239" s="2255"/>
      <c r="AJ239" s="2256"/>
      <c r="AK239" s="1017"/>
      <c r="AL239" s="1017"/>
      <c r="AM239" s="1017"/>
      <c r="AN239" s="1017"/>
      <c r="AO239" s="1017"/>
      <c r="AP239" s="1017"/>
      <c r="AQ239" s="1017"/>
      <c r="AR239" s="1017"/>
      <c r="AS239" s="1017"/>
      <c r="AT239" s="1017"/>
      <c r="AU239" s="1017"/>
      <c r="AV239" s="1017"/>
      <c r="AW239" s="1017"/>
      <c r="AX239" s="1017"/>
      <c r="AY239" s="1017"/>
      <c r="AZ239" s="1017"/>
      <c r="BA239" s="1017"/>
      <c r="BB239" s="1017"/>
      <c r="BC239" s="1017"/>
      <c r="BD239" s="1018"/>
      <c r="BE239" s="974"/>
    </row>
    <row r="240" spans="1:57" ht="15.75" customHeight="1" thickBot="1">
      <c r="A240" s="971"/>
      <c r="B240" s="1016"/>
      <c r="C240" s="1017"/>
      <c r="D240" s="1017"/>
      <c r="E240" s="1017"/>
      <c r="F240" s="1017"/>
      <c r="G240" s="1017"/>
      <c r="H240" s="1019"/>
      <c r="I240" s="1019"/>
      <c r="J240" s="1019"/>
      <c r="K240" s="1019"/>
      <c r="L240" s="1017"/>
      <c r="M240" s="1017"/>
      <c r="N240" s="1017"/>
      <c r="O240" s="1017"/>
      <c r="P240" s="1017"/>
      <c r="Q240" s="1017"/>
      <c r="R240" s="1017"/>
      <c r="S240" s="1017"/>
      <c r="T240" s="1017"/>
      <c r="U240" s="1017"/>
      <c r="V240" s="1017"/>
      <c r="W240" s="1017"/>
      <c r="X240" s="1017"/>
      <c r="Y240" s="1017"/>
      <c r="Z240" s="1017"/>
      <c r="AA240" s="1017"/>
      <c r="AB240" s="1017"/>
      <c r="AC240" s="1017"/>
      <c r="AD240" s="1017"/>
      <c r="AE240" s="1017"/>
      <c r="AF240" s="1017"/>
      <c r="AG240" s="1017"/>
      <c r="AH240" s="1017"/>
      <c r="AI240" s="1017"/>
      <c r="AJ240" s="1017"/>
      <c r="AK240" s="1017"/>
      <c r="AL240" s="1017"/>
      <c r="AM240" s="1017"/>
      <c r="AN240" s="1017"/>
      <c r="AO240" s="1017"/>
      <c r="AP240" s="1017"/>
      <c r="AQ240" s="1017"/>
      <c r="AR240" s="1017"/>
      <c r="AS240" s="1017"/>
      <c r="AT240" s="1017"/>
      <c r="AU240" s="1017"/>
      <c r="AV240" s="1017"/>
      <c r="AW240" s="1017"/>
      <c r="AX240" s="1017"/>
      <c r="AY240" s="1017"/>
      <c r="AZ240" s="1017"/>
      <c r="BA240" s="1017"/>
      <c r="BB240" s="1017"/>
      <c r="BC240" s="1017"/>
      <c r="BD240" s="1018"/>
      <c r="BE240" s="974"/>
    </row>
    <row r="241" spans="1:57" ht="15.75" customHeight="1" thickBot="1">
      <c r="A241" s="971"/>
      <c r="B241" s="1016"/>
      <c r="C241" s="1017"/>
      <c r="D241" s="1017"/>
      <c r="E241" s="1017"/>
      <c r="F241" s="1017"/>
      <c r="G241" s="1017"/>
      <c r="H241" s="2243" t="s">
        <v>1964</v>
      </c>
      <c r="I241" s="2243"/>
      <c r="J241" s="2243"/>
      <c r="K241" s="1019"/>
      <c r="L241" s="1017"/>
      <c r="M241" s="1017"/>
      <c r="N241" s="1017"/>
      <c r="O241" s="1017"/>
      <c r="P241" s="1017"/>
      <c r="Q241" s="1017"/>
      <c r="R241" s="1017"/>
      <c r="S241" s="2244"/>
      <c r="T241" s="2245"/>
      <c r="U241" s="2245"/>
      <c r="V241" s="2245"/>
      <c r="W241" s="2245"/>
      <c r="X241" s="2245"/>
      <c r="Y241" s="2245"/>
      <c r="Z241" s="2245"/>
      <c r="AA241" s="2245"/>
      <c r="AB241" s="2245"/>
      <c r="AC241" s="2245"/>
      <c r="AD241" s="2245"/>
      <c r="AE241" s="2245"/>
      <c r="AF241" s="2245"/>
      <c r="AG241" s="2245"/>
      <c r="AH241" s="2245"/>
      <c r="AI241" s="2245"/>
      <c r="AJ241" s="2246"/>
      <c r="AK241" s="1017"/>
      <c r="AL241" s="1017"/>
      <c r="AM241" s="1017"/>
      <c r="AN241" s="1017"/>
      <c r="AO241" s="1017"/>
      <c r="AP241" s="1017"/>
      <c r="AQ241" s="1017"/>
      <c r="AR241" s="1017"/>
      <c r="AS241" s="1017"/>
      <c r="AT241" s="1017"/>
      <c r="AU241" s="1017"/>
      <c r="AV241" s="1017"/>
      <c r="AW241" s="1017"/>
      <c r="AX241" s="1017"/>
      <c r="AY241" s="1017"/>
      <c r="AZ241" s="1017"/>
      <c r="BA241" s="1017"/>
      <c r="BB241" s="1017"/>
      <c r="BC241" s="1017"/>
      <c r="BD241" s="1018"/>
      <c r="BE241" s="974"/>
    </row>
    <row r="242" spans="1:57" ht="15.75" customHeight="1" thickBot="1">
      <c r="A242" s="971"/>
      <c r="B242" s="1016"/>
      <c r="C242" s="1017"/>
      <c r="D242" s="1017"/>
      <c r="E242" s="1017"/>
      <c r="F242" s="1017"/>
      <c r="G242" s="1017"/>
      <c r="H242" s="1019"/>
      <c r="I242" s="1019"/>
      <c r="J242" s="1019"/>
      <c r="K242" s="1019"/>
      <c r="L242" s="1017"/>
      <c r="M242" s="1017"/>
      <c r="N242" s="1017"/>
      <c r="O242" s="1017"/>
      <c r="P242" s="1017"/>
      <c r="Q242" s="1017"/>
      <c r="R242" s="1017"/>
      <c r="S242" s="1017"/>
      <c r="T242" s="1017"/>
      <c r="U242" s="1017"/>
      <c r="V242" s="1017"/>
      <c r="W242" s="1017"/>
      <c r="X242" s="1017"/>
      <c r="Y242" s="1017"/>
      <c r="Z242" s="1017"/>
      <c r="AA242" s="1017"/>
      <c r="AB242" s="1017"/>
      <c r="AC242" s="1017"/>
      <c r="AD242" s="1017"/>
      <c r="AE242" s="1017"/>
      <c r="AF242" s="1017"/>
      <c r="AG242" s="1017"/>
      <c r="AH242" s="1017"/>
      <c r="AI242" s="1017"/>
      <c r="AJ242" s="1017"/>
      <c r="AK242" s="1017"/>
      <c r="AL242" s="1017"/>
      <c r="AM242" s="1017"/>
      <c r="AN242" s="1017"/>
      <c r="AO242" s="1017"/>
      <c r="AP242" s="1017"/>
      <c r="AQ242" s="1017"/>
      <c r="AR242" s="1017"/>
      <c r="AS242" s="1017"/>
      <c r="AT242" s="1017"/>
      <c r="AU242" s="1017"/>
      <c r="AV242" s="1017"/>
      <c r="AW242" s="1017"/>
      <c r="AX242" s="1017"/>
      <c r="AY242" s="1017"/>
      <c r="AZ242" s="1017"/>
      <c r="BA242" s="1017"/>
      <c r="BB242" s="1017"/>
      <c r="BC242" s="1017"/>
      <c r="BD242" s="1018"/>
      <c r="BE242" s="974"/>
    </row>
    <row r="243" spans="1:57" ht="15.75" customHeight="1" thickBot="1">
      <c r="A243" s="971"/>
      <c r="B243" s="1016"/>
      <c r="C243" s="1017"/>
      <c r="D243" s="1017"/>
      <c r="E243" s="1017"/>
      <c r="F243" s="1017"/>
      <c r="G243" s="1017"/>
      <c r="H243" s="2243" t="s">
        <v>810</v>
      </c>
      <c r="I243" s="2243"/>
      <c r="J243" s="1019"/>
      <c r="K243" s="1019"/>
      <c r="L243" s="1017"/>
      <c r="M243" s="1017"/>
      <c r="N243" s="1017"/>
      <c r="O243" s="1017"/>
      <c r="P243" s="1017"/>
      <c r="Q243" s="1017"/>
      <c r="R243" s="1017"/>
      <c r="S243" s="2244"/>
      <c r="T243" s="2245"/>
      <c r="U243" s="2245"/>
      <c r="V243" s="2245"/>
      <c r="W243" s="2245"/>
      <c r="X243" s="2245"/>
      <c r="Y243" s="2245"/>
      <c r="Z243" s="2245"/>
      <c r="AA243" s="2245"/>
      <c r="AB243" s="2245"/>
      <c r="AC243" s="2245"/>
      <c r="AD243" s="2245"/>
      <c r="AE243" s="2245"/>
      <c r="AF243" s="2245"/>
      <c r="AG243" s="2245"/>
      <c r="AH243" s="2245"/>
      <c r="AI243" s="2245"/>
      <c r="AJ243" s="2246"/>
      <c r="AK243" s="1017"/>
      <c r="AL243" s="1017"/>
      <c r="AM243" s="1017"/>
      <c r="AN243" s="1017"/>
      <c r="AO243" s="1017"/>
      <c r="AP243" s="1017"/>
      <c r="AQ243" s="1017"/>
      <c r="AR243" s="1017"/>
      <c r="AS243" s="1017"/>
      <c r="AT243" s="1017"/>
      <c r="AU243" s="1017"/>
      <c r="AV243" s="1017"/>
      <c r="AW243" s="1017"/>
      <c r="AX243" s="1017"/>
      <c r="AY243" s="1017"/>
      <c r="AZ243" s="1017"/>
      <c r="BA243" s="1017"/>
      <c r="BB243" s="1017"/>
      <c r="BC243" s="1017"/>
      <c r="BD243" s="1018"/>
      <c r="BE243" s="974"/>
    </row>
    <row r="244" spans="1:57" ht="15.75" customHeight="1" thickBot="1">
      <c r="A244" s="971"/>
      <c r="B244" s="1016"/>
      <c r="C244" s="1017"/>
      <c r="D244" s="1017"/>
      <c r="E244" s="1017"/>
      <c r="F244" s="1017"/>
      <c r="G244" s="1017"/>
      <c r="H244" s="1017"/>
      <c r="I244" s="1017"/>
      <c r="J244" s="1017"/>
      <c r="K244" s="1017"/>
      <c r="L244" s="1017"/>
      <c r="M244" s="1017"/>
      <c r="N244" s="1017"/>
      <c r="O244" s="1017"/>
      <c r="P244" s="1017"/>
      <c r="Q244" s="1017"/>
      <c r="R244" s="1017"/>
      <c r="S244" s="1017"/>
      <c r="T244" s="1017"/>
      <c r="U244" s="1017"/>
      <c r="V244" s="1017"/>
      <c r="W244" s="1017"/>
      <c r="X244" s="1017"/>
      <c r="Y244" s="1017"/>
      <c r="Z244" s="1017"/>
      <c r="AA244" s="1017"/>
      <c r="AB244" s="1017"/>
      <c r="AC244" s="1017"/>
      <c r="AD244" s="1017"/>
      <c r="AE244" s="1017"/>
      <c r="AF244" s="1017"/>
      <c r="AG244" s="1017"/>
      <c r="AH244" s="1017"/>
      <c r="AI244" s="1017"/>
      <c r="AJ244" s="1017"/>
      <c r="AK244" s="1017"/>
      <c r="AL244" s="1017"/>
      <c r="AM244" s="1017"/>
      <c r="AN244" s="1017"/>
      <c r="AO244" s="1017"/>
      <c r="AP244" s="1017"/>
      <c r="AQ244" s="1017"/>
      <c r="AR244" s="1017"/>
      <c r="AS244" s="1017"/>
      <c r="AT244" s="1017"/>
      <c r="AU244" s="1017"/>
      <c r="AV244" s="1017"/>
      <c r="AW244" s="1017"/>
      <c r="AX244" s="1017"/>
      <c r="AY244" s="1017"/>
      <c r="AZ244" s="1017"/>
      <c r="BA244" s="1017"/>
      <c r="BB244" s="1017"/>
      <c r="BC244" s="1017"/>
      <c r="BD244" s="1018"/>
      <c r="BE244" s="974"/>
    </row>
    <row r="245" spans="1:57" ht="15.75" customHeight="1" thickBot="1">
      <c r="A245" s="971"/>
      <c r="B245" s="1016"/>
      <c r="C245" s="1017"/>
      <c r="D245" s="1017"/>
      <c r="E245" s="1017"/>
      <c r="F245" s="1017"/>
      <c r="G245" s="1017"/>
      <c r="H245" s="2247" t="s">
        <v>2066</v>
      </c>
      <c r="I245" s="2247"/>
      <c r="J245" s="2247"/>
      <c r="K245" s="2247"/>
      <c r="L245" s="2247"/>
      <c r="M245" s="2247"/>
      <c r="N245" s="2247"/>
      <c r="O245" s="2247"/>
      <c r="P245" s="1017"/>
      <c r="Q245" s="1017"/>
      <c r="R245" s="1017"/>
      <c r="S245" s="2244"/>
      <c r="T245" s="2245"/>
      <c r="U245" s="2245"/>
      <c r="V245" s="2245"/>
      <c r="W245" s="2245"/>
      <c r="X245" s="2245"/>
      <c r="Y245" s="2245"/>
      <c r="Z245" s="2245"/>
      <c r="AA245" s="2245"/>
      <c r="AB245" s="2245"/>
      <c r="AC245" s="2245"/>
      <c r="AD245" s="2245"/>
      <c r="AE245" s="2245"/>
      <c r="AF245" s="2245"/>
      <c r="AG245" s="2245"/>
      <c r="AH245" s="2245"/>
      <c r="AI245" s="2245"/>
      <c r="AJ245" s="2246"/>
      <c r="AK245" s="1017"/>
      <c r="AL245" s="1017"/>
      <c r="AM245" s="1017"/>
      <c r="AN245" s="1017"/>
      <c r="AO245" s="1017"/>
      <c r="AP245" s="1017"/>
      <c r="AQ245" s="1017"/>
      <c r="AR245" s="1017"/>
      <c r="AS245" s="1017"/>
      <c r="AT245" s="1017"/>
      <c r="AU245" s="1017"/>
      <c r="AV245" s="1017"/>
      <c r="AW245" s="1017"/>
      <c r="AX245" s="1017"/>
      <c r="AY245" s="1017"/>
      <c r="AZ245" s="1017"/>
      <c r="BA245" s="1017"/>
      <c r="BB245" s="1017"/>
      <c r="BC245" s="1017"/>
      <c r="BD245" s="1018"/>
      <c r="BE245" s="974"/>
    </row>
    <row r="246" spans="1:57" ht="15.75" customHeight="1" thickBot="1">
      <c r="A246" s="971"/>
      <c r="B246" s="1016"/>
      <c r="C246" s="1017"/>
      <c r="D246" s="1017"/>
      <c r="E246" s="1017"/>
      <c r="F246" s="1017"/>
      <c r="G246" s="1017"/>
      <c r="H246" s="1017"/>
      <c r="I246" s="1017"/>
      <c r="J246" s="1017"/>
      <c r="K246" s="1017"/>
      <c r="L246" s="1017"/>
      <c r="M246" s="1017"/>
      <c r="N246" s="1017"/>
      <c r="O246" s="1017"/>
      <c r="P246" s="1017"/>
      <c r="Q246" s="1017"/>
      <c r="R246" s="1017"/>
      <c r="S246" s="1017"/>
      <c r="T246" s="1017"/>
      <c r="U246" s="1017"/>
      <c r="V246" s="1017"/>
      <c r="W246" s="1017"/>
      <c r="X246" s="1017"/>
      <c r="Y246" s="1017"/>
      <c r="Z246" s="1017"/>
      <c r="AA246" s="1017"/>
      <c r="AB246" s="1017"/>
      <c r="AC246" s="1017"/>
      <c r="AD246" s="1017"/>
      <c r="AE246" s="1017"/>
      <c r="AF246" s="1017"/>
      <c r="AG246" s="1017"/>
      <c r="AH246" s="1017"/>
      <c r="AI246" s="1017"/>
      <c r="AJ246" s="1017"/>
      <c r="AK246" s="1017"/>
      <c r="AL246" s="1017"/>
      <c r="AM246" s="1017"/>
      <c r="AN246" s="1017"/>
      <c r="AO246" s="1017"/>
      <c r="AP246" s="1017"/>
      <c r="AQ246" s="1017"/>
      <c r="AR246" s="1017"/>
      <c r="AS246" s="1017"/>
      <c r="AT246" s="1017"/>
      <c r="AU246" s="1017"/>
      <c r="AV246" s="1017"/>
      <c r="AW246" s="1017"/>
      <c r="AX246" s="1017"/>
      <c r="AY246" s="1017"/>
      <c r="AZ246" s="1017"/>
      <c r="BA246" s="1017"/>
      <c r="BB246" s="1017"/>
      <c r="BC246" s="1017"/>
      <c r="BD246" s="1018"/>
      <c r="BE246" s="974"/>
    </row>
    <row r="247" spans="1:57" ht="15.75" customHeight="1" thickBot="1">
      <c r="A247" s="971"/>
      <c r="B247" s="1016"/>
      <c r="C247" s="1017"/>
      <c r="D247" s="1017"/>
      <c r="E247" s="1017"/>
      <c r="F247" s="1017"/>
      <c r="G247" s="1017"/>
      <c r="H247" s="2248" t="s">
        <v>2067</v>
      </c>
      <c r="I247" s="2248"/>
      <c r="J247" s="1017"/>
      <c r="K247" s="1017"/>
      <c r="L247" s="1017"/>
      <c r="M247" s="1017"/>
      <c r="N247" s="1017"/>
      <c r="O247" s="1017"/>
      <c r="P247" s="1017"/>
      <c r="Q247" s="1017"/>
      <c r="R247" s="1017"/>
      <c r="S247" s="2249"/>
      <c r="T247" s="2250"/>
      <c r="U247" s="2250"/>
      <c r="V247" s="2250"/>
      <c r="W247" s="2250"/>
      <c r="X247" s="2250"/>
      <c r="Y247" s="2250"/>
      <c r="Z247" s="2250"/>
      <c r="AA247" s="2250"/>
      <c r="AB247" s="2250"/>
      <c r="AC247" s="2250"/>
      <c r="AD247" s="2250"/>
      <c r="AE247" s="2250"/>
      <c r="AF247" s="2250"/>
      <c r="AG247" s="2250"/>
      <c r="AH247" s="2250"/>
      <c r="AI247" s="2250"/>
      <c r="AJ247" s="2251"/>
      <c r="AK247" s="1017"/>
      <c r="AL247" s="1017"/>
      <c r="AM247" s="1017"/>
      <c r="AN247" s="1017"/>
      <c r="AO247" s="1017"/>
      <c r="AP247" s="1017"/>
      <c r="AQ247" s="1017"/>
      <c r="AR247" s="1017"/>
      <c r="AS247" s="1017"/>
      <c r="AT247" s="1017"/>
      <c r="AU247" s="1017"/>
      <c r="AV247" s="1017"/>
      <c r="AW247" s="1017"/>
      <c r="AX247" s="1017"/>
      <c r="AY247" s="1017"/>
      <c r="AZ247" s="1017"/>
      <c r="BA247" s="1017"/>
      <c r="BB247" s="1017"/>
      <c r="BC247" s="1017"/>
      <c r="BD247" s="1018"/>
      <c r="BE247" s="974"/>
    </row>
    <row r="248" spans="1:57" ht="15.75" customHeight="1" thickBot="1">
      <c r="A248" s="971"/>
      <c r="B248" s="1020"/>
      <c r="C248" s="1021"/>
      <c r="D248" s="1021"/>
      <c r="E248" s="1021"/>
      <c r="F248" s="1021"/>
      <c r="G248" s="1021"/>
      <c r="H248" s="1021"/>
      <c r="I248" s="1021"/>
      <c r="J248" s="1021"/>
      <c r="K248" s="1021"/>
      <c r="L248" s="1021"/>
      <c r="M248" s="1021"/>
      <c r="N248" s="1021"/>
      <c r="O248" s="1021"/>
      <c r="P248" s="1021"/>
      <c r="Q248" s="1021"/>
      <c r="R248" s="1021"/>
      <c r="S248" s="1021"/>
      <c r="T248" s="1021"/>
      <c r="U248" s="1021"/>
      <c r="V248" s="1021"/>
      <c r="W248" s="1021"/>
      <c r="X248" s="1021"/>
      <c r="Y248" s="1021"/>
      <c r="Z248" s="1021"/>
      <c r="AA248" s="1021"/>
      <c r="AB248" s="1021"/>
      <c r="AC248" s="1021"/>
      <c r="AD248" s="1021"/>
      <c r="AE248" s="1021"/>
      <c r="AF248" s="1021"/>
      <c r="AG248" s="1021"/>
      <c r="AH248" s="1021"/>
      <c r="AI248" s="1021"/>
      <c r="AJ248" s="1021"/>
      <c r="AK248" s="1021"/>
      <c r="AL248" s="1021"/>
      <c r="AM248" s="1021"/>
      <c r="AN248" s="1021"/>
      <c r="AO248" s="1021"/>
      <c r="AP248" s="1021"/>
      <c r="AQ248" s="1021"/>
      <c r="AR248" s="1021"/>
      <c r="AS248" s="1021"/>
      <c r="AT248" s="1021"/>
      <c r="AU248" s="1021"/>
      <c r="AV248" s="1021"/>
      <c r="AW248" s="1021"/>
      <c r="AX248" s="1021"/>
      <c r="AY248" s="1021"/>
      <c r="AZ248" s="1021"/>
      <c r="BA248" s="1021"/>
      <c r="BB248" s="1021"/>
      <c r="BC248" s="1021"/>
      <c r="BD248" s="1022"/>
      <c r="BE248" s="974"/>
    </row>
    <row r="249" spans="1:57" ht="15.75" customHeight="1" thickBot="1">
      <c r="A249" s="1014"/>
      <c r="B249" s="1014"/>
      <c r="C249" s="1014"/>
      <c r="D249" s="1014"/>
      <c r="E249" s="1014"/>
      <c r="F249" s="1014"/>
      <c r="G249" s="1014"/>
      <c r="H249" s="1014"/>
      <c r="I249" s="1014"/>
      <c r="J249" s="1014"/>
      <c r="K249" s="1014"/>
      <c r="L249" s="1014"/>
      <c r="M249" s="1014"/>
      <c r="N249" s="1014"/>
      <c r="O249" s="1014"/>
      <c r="P249" s="1014"/>
      <c r="Q249" s="1014"/>
      <c r="R249" s="1014"/>
      <c r="S249" s="1014"/>
      <c r="T249" s="1014"/>
      <c r="U249" s="1014"/>
      <c r="V249" s="1014"/>
      <c r="W249" s="1014"/>
      <c r="X249" s="1014"/>
      <c r="Y249" s="1014"/>
      <c r="Z249" s="1014"/>
      <c r="AA249" s="1014"/>
      <c r="AB249" s="1014"/>
      <c r="AC249" s="1014"/>
      <c r="AD249" s="1014"/>
      <c r="AE249" s="1014"/>
      <c r="AF249" s="1014"/>
      <c r="AG249" s="1014"/>
      <c r="AH249" s="1014"/>
      <c r="AI249" s="1014"/>
      <c r="AJ249" s="1014"/>
      <c r="AK249" s="1014"/>
      <c r="AL249" s="1014"/>
      <c r="AM249" s="1014"/>
      <c r="AN249" s="1014"/>
      <c r="AO249" s="1014"/>
      <c r="AP249" s="1014"/>
      <c r="AQ249" s="1014"/>
      <c r="AR249" s="1014"/>
      <c r="AS249" s="1014"/>
      <c r="AT249" s="1014"/>
      <c r="AU249" s="1014"/>
      <c r="AV249" s="1014"/>
      <c r="AW249" s="1014"/>
      <c r="AX249" s="1014"/>
      <c r="AY249" s="1014"/>
      <c r="AZ249" s="1014"/>
      <c r="BA249" s="1014"/>
      <c r="BB249" s="1014"/>
      <c r="BC249" s="1014"/>
      <c r="BD249" s="1014"/>
      <c r="BE249" s="1015"/>
    </row>
    <row r="252" spans="1:57" ht="15.75" customHeight="1">
      <c r="D252" s="969"/>
    </row>
    <row r="253" spans="1:57" ht="15.75" customHeight="1">
      <c r="D253" s="1023"/>
    </row>
    <row r="254" spans="1:57" ht="15.75" customHeight="1">
      <c r="D254" s="969"/>
    </row>
    <row r="255" spans="1:57" ht="15.75" customHeight="1">
      <c r="D255" s="969"/>
    </row>
    <row r="256" spans="1:57" ht="15.75" customHeight="1">
      <c r="R256" s="968"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1" sqref="AB51"/>
    </sheetView>
  </sheetViews>
  <sheetFormatPr defaultColWidth="0" defaultRowHeight="13" customHeight="1"/>
  <cols>
    <col min="1" max="1" width="1.453125" style="272" customWidth="1"/>
    <col min="2" max="2" width="0.81640625" style="272" customWidth="1"/>
    <col min="3" max="18" width="2.453125" style="272" customWidth="1"/>
    <col min="19" max="19" width="6.26953125" style="272" customWidth="1"/>
    <col min="20" max="39" width="2.7265625" style="272" customWidth="1"/>
    <col min="40" max="40" width="1.453125" style="272" customWidth="1"/>
    <col min="41" max="256" width="2.453125" style="272" hidden="1"/>
    <col min="257" max="257" width="1.453125" style="272" hidden="1" customWidth="1"/>
    <col min="258" max="258" width="0.81640625" style="272" hidden="1" customWidth="1"/>
    <col min="259" max="274" width="2.453125" style="272" hidden="1" customWidth="1"/>
    <col min="275" max="275" width="4" style="272" hidden="1" customWidth="1"/>
    <col min="276" max="295" width="2.453125" style="272" hidden="1" customWidth="1"/>
    <col min="296" max="296" width="1.453125" style="272" hidden="1" customWidth="1"/>
    <col min="297" max="512" width="2.453125" style="272" hidden="1"/>
    <col min="513" max="513" width="1.453125" style="272" hidden="1" customWidth="1"/>
    <col min="514" max="514" width="0.81640625" style="272" hidden="1" customWidth="1"/>
    <col min="515" max="530" width="2.453125" style="272" hidden="1" customWidth="1"/>
    <col min="531" max="531" width="4" style="272" hidden="1" customWidth="1"/>
    <col min="532" max="551" width="2.453125" style="272" hidden="1" customWidth="1"/>
    <col min="552" max="552" width="1.453125" style="272" hidden="1" customWidth="1"/>
    <col min="553" max="768" width="2.453125" style="272" hidden="1"/>
    <col min="769" max="769" width="1.453125" style="272" hidden="1" customWidth="1"/>
    <col min="770" max="770" width="0.81640625" style="272" hidden="1" customWidth="1"/>
    <col min="771" max="786" width="2.453125" style="272" hidden="1" customWidth="1"/>
    <col min="787" max="787" width="4" style="272" hidden="1" customWidth="1"/>
    <col min="788" max="807" width="2.453125" style="272" hidden="1" customWidth="1"/>
    <col min="808" max="808" width="1.453125" style="272" hidden="1" customWidth="1"/>
    <col min="809" max="1024" width="2.453125" style="272" hidden="1"/>
    <col min="1025" max="1025" width="1.453125" style="272" hidden="1" customWidth="1"/>
    <col min="1026" max="1026" width="0.81640625" style="272" hidden="1" customWidth="1"/>
    <col min="1027" max="1042" width="2.453125" style="272" hidden="1" customWidth="1"/>
    <col min="1043" max="1043" width="4" style="272" hidden="1" customWidth="1"/>
    <col min="1044" max="1063" width="2.453125" style="272" hidden="1" customWidth="1"/>
    <col min="1064" max="1064" width="1.453125" style="272" hidden="1" customWidth="1"/>
    <col min="1065" max="1280" width="2.453125" style="272" hidden="1"/>
    <col min="1281" max="1281" width="1.453125" style="272" hidden="1" customWidth="1"/>
    <col min="1282" max="1282" width="0.81640625" style="272" hidden="1" customWidth="1"/>
    <col min="1283" max="1298" width="2.453125" style="272" hidden="1" customWidth="1"/>
    <col min="1299" max="1299" width="4" style="272" hidden="1" customWidth="1"/>
    <col min="1300" max="1319" width="2.453125" style="272" hidden="1" customWidth="1"/>
    <col min="1320" max="1320" width="1.453125" style="272" hidden="1" customWidth="1"/>
    <col min="1321" max="1536" width="2.453125" style="272" hidden="1"/>
    <col min="1537" max="1537" width="1.453125" style="272" hidden="1" customWidth="1"/>
    <col min="1538" max="1538" width="0.81640625" style="272" hidden="1" customWidth="1"/>
    <col min="1539" max="1554" width="2.453125" style="272" hidden="1" customWidth="1"/>
    <col min="1555" max="1555" width="4" style="272" hidden="1" customWidth="1"/>
    <col min="1556" max="1575" width="2.453125" style="272" hidden="1" customWidth="1"/>
    <col min="1576" max="1576" width="1.453125" style="272" hidden="1" customWidth="1"/>
    <col min="1577" max="1792" width="2.453125" style="272" hidden="1"/>
    <col min="1793" max="1793" width="1.453125" style="272" hidden="1" customWidth="1"/>
    <col min="1794" max="1794" width="0.81640625" style="272" hidden="1" customWidth="1"/>
    <col min="1795" max="1810" width="2.453125" style="272" hidden="1" customWidth="1"/>
    <col min="1811" max="1811" width="4" style="272" hidden="1" customWidth="1"/>
    <col min="1812" max="1831" width="2.453125" style="272" hidden="1" customWidth="1"/>
    <col min="1832" max="1832" width="1.453125" style="272" hidden="1" customWidth="1"/>
    <col min="1833" max="2048" width="2.453125" style="272" hidden="1"/>
    <col min="2049" max="2049" width="1.453125" style="272" hidden="1" customWidth="1"/>
    <col min="2050" max="2050" width="0.81640625" style="272" hidden="1" customWidth="1"/>
    <col min="2051" max="2066" width="2.453125" style="272" hidden="1" customWidth="1"/>
    <col min="2067" max="2067" width="4" style="272" hidden="1" customWidth="1"/>
    <col min="2068" max="2087" width="2.453125" style="272" hidden="1" customWidth="1"/>
    <col min="2088" max="2088" width="1.453125" style="272" hidden="1" customWidth="1"/>
    <col min="2089" max="2304" width="2.453125" style="272" hidden="1"/>
    <col min="2305" max="2305" width="1.453125" style="272" hidden="1" customWidth="1"/>
    <col min="2306" max="2306" width="0.81640625" style="272" hidden="1" customWidth="1"/>
    <col min="2307" max="2322" width="2.453125" style="272" hidden="1" customWidth="1"/>
    <col min="2323" max="2323" width="4" style="272" hidden="1" customWidth="1"/>
    <col min="2324" max="2343" width="2.453125" style="272" hidden="1" customWidth="1"/>
    <col min="2344" max="2344" width="1.453125" style="272" hidden="1" customWidth="1"/>
    <col min="2345" max="2560" width="2.453125" style="272" hidden="1"/>
    <col min="2561" max="2561" width="1.453125" style="272" hidden="1" customWidth="1"/>
    <col min="2562" max="2562" width="0.81640625" style="272" hidden="1" customWidth="1"/>
    <col min="2563" max="2578" width="2.453125" style="272" hidden="1" customWidth="1"/>
    <col min="2579" max="2579" width="4" style="272" hidden="1" customWidth="1"/>
    <col min="2580" max="2599" width="2.453125" style="272" hidden="1" customWidth="1"/>
    <col min="2600" max="2600" width="1.453125" style="272" hidden="1" customWidth="1"/>
    <col min="2601" max="2816" width="2.453125" style="272" hidden="1"/>
    <col min="2817" max="2817" width="1.453125" style="272" hidden="1" customWidth="1"/>
    <col min="2818" max="2818" width="0.81640625" style="272" hidden="1" customWidth="1"/>
    <col min="2819" max="2834" width="2.453125" style="272" hidden="1" customWidth="1"/>
    <col min="2835" max="2835" width="4" style="272" hidden="1" customWidth="1"/>
    <col min="2836" max="2855" width="2.453125" style="272" hidden="1" customWidth="1"/>
    <col min="2856" max="2856" width="1.453125" style="272" hidden="1" customWidth="1"/>
    <col min="2857" max="3072" width="2.453125" style="272" hidden="1"/>
    <col min="3073" max="3073" width="1.453125" style="272" hidden="1" customWidth="1"/>
    <col min="3074" max="3074" width="0.81640625" style="272" hidden="1" customWidth="1"/>
    <col min="3075" max="3090" width="2.453125" style="272" hidden="1" customWidth="1"/>
    <col min="3091" max="3091" width="4" style="272" hidden="1" customWidth="1"/>
    <col min="3092" max="3111" width="2.453125" style="272" hidden="1" customWidth="1"/>
    <col min="3112" max="3112" width="1.453125" style="272" hidden="1" customWidth="1"/>
    <col min="3113" max="3328" width="2.453125" style="272" hidden="1"/>
    <col min="3329" max="3329" width="1.453125" style="272" hidden="1" customWidth="1"/>
    <col min="3330" max="3330" width="0.81640625" style="272" hidden="1" customWidth="1"/>
    <col min="3331" max="3346" width="2.453125" style="272" hidden="1" customWidth="1"/>
    <col min="3347" max="3347" width="4" style="272" hidden="1" customWidth="1"/>
    <col min="3348" max="3367" width="2.453125" style="272" hidden="1" customWidth="1"/>
    <col min="3368" max="3368" width="1.453125" style="272" hidden="1" customWidth="1"/>
    <col min="3369" max="3584" width="2.453125" style="272" hidden="1"/>
    <col min="3585" max="3585" width="1.453125" style="272" hidden="1" customWidth="1"/>
    <col min="3586" max="3586" width="0.81640625" style="272" hidden="1" customWidth="1"/>
    <col min="3587" max="3602" width="2.453125" style="272" hidden="1" customWidth="1"/>
    <col min="3603" max="3603" width="4" style="272" hidden="1" customWidth="1"/>
    <col min="3604" max="3623" width="2.453125" style="272" hidden="1" customWidth="1"/>
    <col min="3624" max="3624" width="1.453125" style="272" hidden="1" customWidth="1"/>
    <col min="3625" max="3840" width="2.453125" style="272" hidden="1"/>
    <col min="3841" max="3841" width="1.453125" style="272" hidden="1" customWidth="1"/>
    <col min="3842" max="3842" width="0.81640625" style="272" hidden="1" customWidth="1"/>
    <col min="3843" max="3858" width="2.453125" style="272" hidden="1" customWidth="1"/>
    <col min="3859" max="3859" width="4" style="272" hidden="1" customWidth="1"/>
    <col min="3860" max="3879" width="2.453125" style="272" hidden="1" customWidth="1"/>
    <col min="3880" max="3880" width="1.453125" style="272" hidden="1" customWidth="1"/>
    <col min="3881" max="4096" width="2.453125" style="272" hidden="1"/>
    <col min="4097" max="4097" width="1.453125" style="272" hidden="1" customWidth="1"/>
    <col min="4098" max="4098" width="0.81640625" style="272" hidden="1" customWidth="1"/>
    <col min="4099" max="4114" width="2.453125" style="272" hidden="1" customWidth="1"/>
    <col min="4115" max="4115" width="4" style="272" hidden="1" customWidth="1"/>
    <col min="4116" max="4135" width="2.453125" style="272" hidden="1" customWidth="1"/>
    <col min="4136" max="4136" width="1.453125" style="272" hidden="1" customWidth="1"/>
    <col min="4137" max="4352" width="2.453125" style="272" hidden="1"/>
    <col min="4353" max="4353" width="1.453125" style="272" hidden="1" customWidth="1"/>
    <col min="4354" max="4354" width="0.81640625" style="272" hidden="1" customWidth="1"/>
    <col min="4355" max="4370" width="2.453125" style="272" hidden="1" customWidth="1"/>
    <col min="4371" max="4371" width="4" style="272" hidden="1" customWidth="1"/>
    <col min="4372" max="4391" width="2.453125" style="272" hidden="1" customWidth="1"/>
    <col min="4392" max="4392" width="1.453125" style="272" hidden="1" customWidth="1"/>
    <col min="4393" max="4608" width="2.453125" style="272" hidden="1"/>
    <col min="4609" max="4609" width="1.453125" style="272" hidden="1" customWidth="1"/>
    <col min="4610" max="4610" width="0.81640625" style="272" hidden="1" customWidth="1"/>
    <col min="4611" max="4626" width="2.453125" style="272" hidden="1" customWidth="1"/>
    <col min="4627" max="4627" width="4" style="272" hidden="1" customWidth="1"/>
    <col min="4628" max="4647" width="2.453125" style="272" hidden="1" customWidth="1"/>
    <col min="4648" max="4648" width="1.453125" style="272" hidden="1" customWidth="1"/>
    <col min="4649" max="4864" width="2.453125" style="272" hidden="1"/>
    <col min="4865" max="4865" width="1.453125" style="272" hidden="1" customWidth="1"/>
    <col min="4866" max="4866" width="0.81640625" style="272" hidden="1" customWidth="1"/>
    <col min="4867" max="4882" width="2.453125" style="272" hidden="1" customWidth="1"/>
    <col min="4883" max="4883" width="4" style="272" hidden="1" customWidth="1"/>
    <col min="4884" max="4903" width="2.453125" style="272" hidden="1" customWidth="1"/>
    <col min="4904" max="4904" width="1.453125" style="272" hidden="1" customWidth="1"/>
    <col min="4905" max="5120" width="2.453125" style="272" hidden="1"/>
    <col min="5121" max="5121" width="1.453125" style="272" hidden="1" customWidth="1"/>
    <col min="5122" max="5122" width="0.81640625" style="272" hidden="1" customWidth="1"/>
    <col min="5123" max="5138" width="2.453125" style="272" hidden="1" customWidth="1"/>
    <col min="5139" max="5139" width="4" style="272" hidden="1" customWidth="1"/>
    <col min="5140" max="5159" width="2.453125" style="272" hidden="1" customWidth="1"/>
    <col min="5160" max="5160" width="1.453125" style="272" hidden="1" customWidth="1"/>
    <col min="5161" max="5376" width="2.453125" style="272" hidden="1"/>
    <col min="5377" max="5377" width="1.453125" style="272" hidden="1" customWidth="1"/>
    <col min="5378" max="5378" width="0.81640625" style="272" hidden="1" customWidth="1"/>
    <col min="5379" max="5394" width="2.453125" style="272" hidden="1" customWidth="1"/>
    <col min="5395" max="5395" width="4" style="272" hidden="1" customWidth="1"/>
    <col min="5396" max="5415" width="2.453125" style="272" hidden="1" customWidth="1"/>
    <col min="5416" max="5416" width="1.453125" style="272" hidden="1" customWidth="1"/>
    <col min="5417" max="5632" width="2.453125" style="272" hidden="1"/>
    <col min="5633" max="5633" width="1.453125" style="272" hidden="1" customWidth="1"/>
    <col min="5634" max="5634" width="0.81640625" style="272" hidden="1" customWidth="1"/>
    <col min="5635" max="5650" width="2.453125" style="272" hidden="1" customWidth="1"/>
    <col min="5651" max="5651" width="4" style="272" hidden="1" customWidth="1"/>
    <col min="5652" max="5671" width="2.453125" style="272" hidden="1" customWidth="1"/>
    <col min="5672" max="5672" width="1.453125" style="272" hidden="1" customWidth="1"/>
    <col min="5673" max="5888" width="2.453125" style="272" hidden="1"/>
    <col min="5889" max="5889" width="1.453125" style="272" hidden="1" customWidth="1"/>
    <col min="5890" max="5890" width="0.81640625" style="272" hidden="1" customWidth="1"/>
    <col min="5891" max="5906" width="2.453125" style="272" hidden="1" customWidth="1"/>
    <col min="5907" max="5907" width="4" style="272" hidden="1" customWidth="1"/>
    <col min="5908" max="5927" width="2.453125" style="272" hidden="1" customWidth="1"/>
    <col min="5928" max="5928" width="1.453125" style="272" hidden="1" customWidth="1"/>
    <col min="5929" max="6144" width="2.453125" style="272" hidden="1"/>
    <col min="6145" max="6145" width="1.453125" style="272" hidden="1" customWidth="1"/>
    <col min="6146" max="6146" width="0.81640625" style="272" hidden="1" customWidth="1"/>
    <col min="6147" max="6162" width="2.453125" style="272" hidden="1" customWidth="1"/>
    <col min="6163" max="6163" width="4" style="272" hidden="1" customWidth="1"/>
    <col min="6164" max="6183" width="2.453125" style="272" hidden="1" customWidth="1"/>
    <col min="6184" max="6184" width="1.453125" style="272" hidden="1" customWidth="1"/>
    <col min="6185" max="6400" width="2.453125" style="272" hidden="1"/>
    <col min="6401" max="6401" width="1.453125" style="272" hidden="1" customWidth="1"/>
    <col min="6402" max="6402" width="0.81640625" style="272" hidden="1" customWidth="1"/>
    <col min="6403" max="6418" width="2.453125" style="272" hidden="1" customWidth="1"/>
    <col min="6419" max="6419" width="4" style="272" hidden="1" customWidth="1"/>
    <col min="6420" max="6439" width="2.453125" style="272" hidden="1" customWidth="1"/>
    <col min="6440" max="6440" width="1.453125" style="272" hidden="1" customWidth="1"/>
    <col min="6441" max="6656" width="2.453125" style="272" hidden="1"/>
    <col min="6657" max="6657" width="1.453125" style="272" hidden="1" customWidth="1"/>
    <col min="6658" max="6658" width="0.81640625" style="272" hidden="1" customWidth="1"/>
    <col min="6659" max="6674" width="2.453125" style="272" hidden="1" customWidth="1"/>
    <col min="6675" max="6675" width="4" style="272" hidden="1" customWidth="1"/>
    <col min="6676" max="6695" width="2.453125" style="272" hidden="1" customWidth="1"/>
    <col min="6696" max="6696" width="1.453125" style="272" hidden="1" customWidth="1"/>
    <col min="6697" max="6912" width="2.453125" style="272" hidden="1"/>
    <col min="6913" max="6913" width="1.453125" style="272" hidden="1" customWidth="1"/>
    <col min="6914" max="6914" width="0.81640625" style="272" hidden="1" customWidth="1"/>
    <col min="6915" max="6930" width="2.453125" style="272" hidden="1" customWidth="1"/>
    <col min="6931" max="6931" width="4" style="272" hidden="1" customWidth="1"/>
    <col min="6932" max="6951" width="2.453125" style="272" hidden="1" customWidth="1"/>
    <col min="6952" max="6952" width="1.453125" style="272" hidden="1" customWidth="1"/>
    <col min="6953" max="7168" width="2.453125" style="272" hidden="1"/>
    <col min="7169" max="7169" width="1.453125" style="272" hidden="1" customWidth="1"/>
    <col min="7170" max="7170" width="0.81640625" style="272" hidden="1" customWidth="1"/>
    <col min="7171" max="7186" width="2.453125" style="272" hidden="1" customWidth="1"/>
    <col min="7187" max="7187" width="4" style="272" hidden="1" customWidth="1"/>
    <col min="7188" max="7207" width="2.453125" style="272" hidden="1" customWidth="1"/>
    <col min="7208" max="7208" width="1.453125" style="272" hidden="1" customWidth="1"/>
    <col min="7209" max="7424" width="2.453125" style="272" hidden="1"/>
    <col min="7425" max="7425" width="1.453125" style="272" hidden="1" customWidth="1"/>
    <col min="7426" max="7426" width="0.81640625" style="272" hidden="1" customWidth="1"/>
    <col min="7427" max="7442" width="2.453125" style="272" hidden="1" customWidth="1"/>
    <col min="7443" max="7443" width="4" style="272" hidden="1" customWidth="1"/>
    <col min="7444" max="7463" width="2.453125" style="272" hidden="1" customWidth="1"/>
    <col min="7464" max="7464" width="1.453125" style="272" hidden="1" customWidth="1"/>
    <col min="7465" max="7680" width="2.453125" style="272" hidden="1"/>
    <col min="7681" max="7681" width="1.453125" style="272" hidden="1" customWidth="1"/>
    <col min="7682" max="7682" width="0.81640625" style="272" hidden="1" customWidth="1"/>
    <col min="7683" max="7698" width="2.453125" style="272" hidden="1" customWidth="1"/>
    <col min="7699" max="7699" width="4" style="272" hidden="1" customWidth="1"/>
    <col min="7700" max="7719" width="2.453125" style="272" hidden="1" customWidth="1"/>
    <col min="7720" max="7720" width="1.453125" style="272" hidden="1" customWidth="1"/>
    <col min="7721" max="7936" width="2.453125" style="272" hidden="1"/>
    <col min="7937" max="7937" width="1.453125" style="272" hidden="1" customWidth="1"/>
    <col min="7938" max="7938" width="0.81640625" style="272" hidden="1" customWidth="1"/>
    <col min="7939" max="7954" width="2.453125" style="272" hidden="1" customWidth="1"/>
    <col min="7955" max="7955" width="4" style="272" hidden="1" customWidth="1"/>
    <col min="7956" max="7975" width="2.453125" style="272" hidden="1" customWidth="1"/>
    <col min="7976" max="7976" width="1.453125" style="272" hidden="1" customWidth="1"/>
    <col min="7977" max="8192" width="2.453125" style="272" hidden="1"/>
    <col min="8193" max="8193" width="1.453125" style="272" hidden="1" customWidth="1"/>
    <col min="8194" max="8194" width="0.81640625" style="272" hidden="1" customWidth="1"/>
    <col min="8195" max="8210" width="2.453125" style="272" hidden="1" customWidth="1"/>
    <col min="8211" max="8211" width="4" style="272" hidden="1" customWidth="1"/>
    <col min="8212" max="8231" width="2.453125" style="272" hidden="1" customWidth="1"/>
    <col min="8232" max="8232" width="1.453125" style="272" hidden="1" customWidth="1"/>
    <col min="8233" max="8448" width="2.453125" style="272" hidden="1"/>
    <col min="8449" max="8449" width="1.453125" style="272" hidden="1" customWidth="1"/>
    <col min="8450" max="8450" width="0.81640625" style="272" hidden="1" customWidth="1"/>
    <col min="8451" max="8466" width="2.453125" style="272" hidden="1" customWidth="1"/>
    <col min="8467" max="8467" width="4" style="272" hidden="1" customWidth="1"/>
    <col min="8468" max="8487" width="2.453125" style="272" hidden="1" customWidth="1"/>
    <col min="8488" max="8488" width="1.453125" style="272" hidden="1" customWidth="1"/>
    <col min="8489" max="8704" width="2.453125" style="272" hidden="1"/>
    <col min="8705" max="8705" width="1.453125" style="272" hidden="1" customWidth="1"/>
    <col min="8706" max="8706" width="0.81640625" style="272" hidden="1" customWidth="1"/>
    <col min="8707" max="8722" width="2.453125" style="272" hidden="1" customWidth="1"/>
    <col min="8723" max="8723" width="4" style="272" hidden="1" customWidth="1"/>
    <col min="8724" max="8743" width="2.453125" style="272" hidden="1" customWidth="1"/>
    <col min="8744" max="8744" width="1.453125" style="272" hidden="1" customWidth="1"/>
    <col min="8745" max="8960" width="2.453125" style="272" hidden="1"/>
    <col min="8961" max="8961" width="1.453125" style="272" hidden="1" customWidth="1"/>
    <col min="8962" max="8962" width="0.81640625" style="272" hidden="1" customWidth="1"/>
    <col min="8963" max="8978" width="2.453125" style="272" hidden="1" customWidth="1"/>
    <col min="8979" max="8979" width="4" style="272" hidden="1" customWidth="1"/>
    <col min="8980" max="8999" width="2.453125" style="272" hidden="1" customWidth="1"/>
    <col min="9000" max="9000" width="1.453125" style="272" hidden="1" customWidth="1"/>
    <col min="9001" max="9216" width="2.453125" style="272" hidden="1"/>
    <col min="9217" max="9217" width="1.453125" style="272" hidden="1" customWidth="1"/>
    <col min="9218" max="9218" width="0.81640625" style="272" hidden="1" customWidth="1"/>
    <col min="9219" max="9234" width="2.453125" style="272" hidden="1" customWidth="1"/>
    <col min="9235" max="9235" width="4" style="272" hidden="1" customWidth="1"/>
    <col min="9236" max="9255" width="2.453125" style="272" hidden="1" customWidth="1"/>
    <col min="9256" max="9256" width="1.453125" style="272" hidden="1" customWidth="1"/>
    <col min="9257" max="9472" width="2.453125" style="272" hidden="1"/>
    <col min="9473" max="9473" width="1.453125" style="272" hidden="1" customWidth="1"/>
    <col min="9474" max="9474" width="0.81640625" style="272" hidden="1" customWidth="1"/>
    <col min="9475" max="9490" width="2.453125" style="272" hidden="1" customWidth="1"/>
    <col min="9491" max="9491" width="4" style="272" hidden="1" customWidth="1"/>
    <col min="9492" max="9511" width="2.453125" style="272" hidden="1" customWidth="1"/>
    <col min="9512" max="9512" width="1.453125" style="272" hidden="1" customWidth="1"/>
    <col min="9513" max="9728" width="2.453125" style="272" hidden="1"/>
    <col min="9729" max="9729" width="1.453125" style="272" hidden="1" customWidth="1"/>
    <col min="9730" max="9730" width="0.81640625" style="272" hidden="1" customWidth="1"/>
    <col min="9731" max="9746" width="2.453125" style="272" hidden="1" customWidth="1"/>
    <col min="9747" max="9747" width="4" style="272" hidden="1" customWidth="1"/>
    <col min="9748" max="9767" width="2.453125" style="272" hidden="1" customWidth="1"/>
    <col min="9768" max="9768" width="1.453125" style="272" hidden="1" customWidth="1"/>
    <col min="9769" max="9984" width="2.453125" style="272" hidden="1"/>
    <col min="9985" max="9985" width="1.453125" style="272" hidden="1" customWidth="1"/>
    <col min="9986" max="9986" width="0.81640625" style="272" hidden="1" customWidth="1"/>
    <col min="9987" max="10002" width="2.453125" style="272" hidden="1" customWidth="1"/>
    <col min="10003" max="10003" width="4" style="272" hidden="1" customWidth="1"/>
    <col min="10004" max="10023" width="2.453125" style="272" hidden="1" customWidth="1"/>
    <col min="10024" max="10024" width="1.453125" style="272" hidden="1" customWidth="1"/>
    <col min="10025" max="10240" width="2.453125" style="272" hidden="1"/>
    <col min="10241" max="10241" width="1.453125" style="272" hidden="1" customWidth="1"/>
    <col min="10242" max="10242" width="0.81640625" style="272" hidden="1" customWidth="1"/>
    <col min="10243" max="10258" width="2.453125" style="272" hidden="1" customWidth="1"/>
    <col min="10259" max="10259" width="4" style="272" hidden="1" customWidth="1"/>
    <col min="10260" max="10279" width="2.453125" style="272" hidden="1" customWidth="1"/>
    <col min="10280" max="10280" width="1.453125" style="272" hidden="1" customWidth="1"/>
    <col min="10281" max="10496" width="2.453125" style="272" hidden="1"/>
    <col min="10497" max="10497" width="1.453125" style="272" hidden="1" customWidth="1"/>
    <col min="10498" max="10498" width="0.81640625" style="272" hidden="1" customWidth="1"/>
    <col min="10499" max="10514" width="2.453125" style="272" hidden="1" customWidth="1"/>
    <col min="10515" max="10515" width="4" style="272" hidden="1" customWidth="1"/>
    <col min="10516" max="10535" width="2.453125" style="272" hidden="1" customWidth="1"/>
    <col min="10536" max="10536" width="1.453125" style="272" hidden="1" customWidth="1"/>
    <col min="10537" max="10752" width="2.453125" style="272" hidden="1"/>
    <col min="10753" max="10753" width="1.453125" style="272" hidden="1" customWidth="1"/>
    <col min="10754" max="10754" width="0.81640625" style="272" hidden="1" customWidth="1"/>
    <col min="10755" max="10770" width="2.453125" style="272" hidden="1" customWidth="1"/>
    <col min="10771" max="10771" width="4" style="272" hidden="1" customWidth="1"/>
    <col min="10772" max="10791" width="2.453125" style="272" hidden="1" customWidth="1"/>
    <col min="10792" max="10792" width="1.453125" style="272" hidden="1" customWidth="1"/>
    <col min="10793" max="11008" width="2.453125" style="272" hidden="1"/>
    <col min="11009" max="11009" width="1.453125" style="272" hidden="1" customWidth="1"/>
    <col min="11010" max="11010" width="0.81640625" style="272" hidden="1" customWidth="1"/>
    <col min="11011" max="11026" width="2.453125" style="272" hidden="1" customWidth="1"/>
    <col min="11027" max="11027" width="4" style="272" hidden="1" customWidth="1"/>
    <col min="11028" max="11047" width="2.453125" style="272" hidden="1" customWidth="1"/>
    <col min="11048" max="11048" width="1.453125" style="272" hidden="1" customWidth="1"/>
    <col min="11049" max="11264" width="2.453125" style="272" hidden="1"/>
    <col min="11265" max="11265" width="1.453125" style="272" hidden="1" customWidth="1"/>
    <col min="11266" max="11266" width="0.81640625" style="272" hidden="1" customWidth="1"/>
    <col min="11267" max="11282" width="2.453125" style="272" hidden="1" customWidth="1"/>
    <col min="11283" max="11283" width="4" style="272" hidden="1" customWidth="1"/>
    <col min="11284" max="11303" width="2.453125" style="272" hidden="1" customWidth="1"/>
    <col min="11304" max="11304" width="1.453125" style="272" hidden="1" customWidth="1"/>
    <col min="11305" max="11520" width="2.453125" style="272" hidden="1"/>
    <col min="11521" max="11521" width="1.453125" style="272" hidden="1" customWidth="1"/>
    <col min="11522" max="11522" width="0.81640625" style="272" hidden="1" customWidth="1"/>
    <col min="11523" max="11538" width="2.453125" style="272" hidden="1" customWidth="1"/>
    <col min="11539" max="11539" width="4" style="272" hidden="1" customWidth="1"/>
    <col min="11540" max="11559" width="2.453125" style="272" hidden="1" customWidth="1"/>
    <col min="11560" max="11560" width="1.453125" style="272" hidden="1" customWidth="1"/>
    <col min="11561" max="11776" width="2.453125" style="272" hidden="1"/>
    <col min="11777" max="11777" width="1.453125" style="272" hidden="1" customWidth="1"/>
    <col min="11778" max="11778" width="0.81640625" style="272" hidden="1" customWidth="1"/>
    <col min="11779" max="11794" width="2.453125" style="272" hidden="1" customWidth="1"/>
    <col min="11795" max="11795" width="4" style="272" hidden="1" customWidth="1"/>
    <col min="11796" max="11815" width="2.453125" style="272" hidden="1" customWidth="1"/>
    <col min="11816" max="11816" width="1.453125" style="272" hidden="1" customWidth="1"/>
    <col min="11817" max="12032" width="2.453125" style="272" hidden="1"/>
    <col min="12033" max="12033" width="1.453125" style="272" hidden="1" customWidth="1"/>
    <col min="12034" max="12034" width="0.81640625" style="272" hidden="1" customWidth="1"/>
    <col min="12035" max="12050" width="2.453125" style="272" hidden="1" customWidth="1"/>
    <col min="12051" max="12051" width="4" style="272" hidden="1" customWidth="1"/>
    <col min="12052" max="12071" width="2.453125" style="272" hidden="1" customWidth="1"/>
    <col min="12072" max="12072" width="1.453125" style="272" hidden="1" customWidth="1"/>
    <col min="12073" max="12288" width="2.453125" style="272" hidden="1"/>
    <col min="12289" max="12289" width="1.453125" style="272" hidden="1" customWidth="1"/>
    <col min="12290" max="12290" width="0.81640625" style="272" hidden="1" customWidth="1"/>
    <col min="12291" max="12306" width="2.453125" style="272" hidden="1" customWidth="1"/>
    <col min="12307" max="12307" width="4" style="272" hidden="1" customWidth="1"/>
    <col min="12308" max="12327" width="2.453125" style="272" hidden="1" customWidth="1"/>
    <col min="12328" max="12328" width="1.453125" style="272" hidden="1" customWidth="1"/>
    <col min="12329" max="12544" width="2.453125" style="272" hidden="1"/>
    <col min="12545" max="12545" width="1.453125" style="272" hidden="1" customWidth="1"/>
    <col min="12546" max="12546" width="0.81640625" style="272" hidden="1" customWidth="1"/>
    <col min="12547" max="12562" width="2.453125" style="272" hidden="1" customWidth="1"/>
    <col min="12563" max="12563" width="4" style="272" hidden="1" customWidth="1"/>
    <col min="12564" max="12583" width="2.453125" style="272" hidden="1" customWidth="1"/>
    <col min="12584" max="12584" width="1.453125" style="272" hidden="1" customWidth="1"/>
    <col min="12585" max="12800" width="2.453125" style="272" hidden="1"/>
    <col min="12801" max="12801" width="1.453125" style="272" hidden="1" customWidth="1"/>
    <col min="12802" max="12802" width="0.81640625" style="272" hidden="1" customWidth="1"/>
    <col min="12803" max="12818" width="2.453125" style="272" hidden="1" customWidth="1"/>
    <col min="12819" max="12819" width="4" style="272" hidden="1" customWidth="1"/>
    <col min="12820" max="12839" width="2.453125" style="272" hidden="1" customWidth="1"/>
    <col min="12840" max="12840" width="1.453125" style="272" hidden="1" customWidth="1"/>
    <col min="12841" max="13056" width="2.453125" style="272" hidden="1"/>
    <col min="13057" max="13057" width="1.453125" style="272" hidden="1" customWidth="1"/>
    <col min="13058" max="13058" width="0.81640625" style="272" hidden="1" customWidth="1"/>
    <col min="13059" max="13074" width="2.453125" style="272" hidden="1" customWidth="1"/>
    <col min="13075" max="13075" width="4" style="272" hidden="1" customWidth="1"/>
    <col min="13076" max="13095" width="2.453125" style="272" hidden="1" customWidth="1"/>
    <col min="13096" max="13096" width="1.453125" style="272" hidden="1" customWidth="1"/>
    <col min="13097" max="13312" width="2.453125" style="272" hidden="1"/>
    <col min="13313" max="13313" width="1.453125" style="272" hidden="1" customWidth="1"/>
    <col min="13314" max="13314" width="0.81640625" style="272" hidden="1" customWidth="1"/>
    <col min="13315" max="13330" width="2.453125" style="272" hidden="1" customWidth="1"/>
    <col min="13331" max="13331" width="4" style="272" hidden="1" customWidth="1"/>
    <col min="13332" max="13351" width="2.453125" style="272" hidden="1" customWidth="1"/>
    <col min="13352" max="13352" width="1.453125" style="272" hidden="1" customWidth="1"/>
    <col min="13353" max="13568" width="2.453125" style="272" hidden="1"/>
    <col min="13569" max="13569" width="1.453125" style="272" hidden="1" customWidth="1"/>
    <col min="13570" max="13570" width="0.81640625" style="272" hidden="1" customWidth="1"/>
    <col min="13571" max="13586" width="2.453125" style="272" hidden="1" customWidth="1"/>
    <col min="13587" max="13587" width="4" style="272" hidden="1" customWidth="1"/>
    <col min="13588" max="13607" width="2.453125" style="272" hidden="1" customWidth="1"/>
    <col min="13608" max="13608" width="1.453125" style="272" hidden="1" customWidth="1"/>
    <col min="13609" max="13824" width="2.453125" style="272" hidden="1"/>
    <col min="13825" max="13825" width="1.453125" style="272" hidden="1" customWidth="1"/>
    <col min="13826" max="13826" width="0.81640625" style="272" hidden="1" customWidth="1"/>
    <col min="13827" max="13842" width="2.453125" style="272" hidden="1" customWidth="1"/>
    <col min="13843" max="13843" width="4" style="272" hidden="1" customWidth="1"/>
    <col min="13844" max="13863" width="2.453125" style="272" hidden="1" customWidth="1"/>
    <col min="13864" max="13864" width="1.453125" style="272" hidden="1" customWidth="1"/>
    <col min="13865" max="14080" width="2.453125" style="272" hidden="1"/>
    <col min="14081" max="14081" width="1.453125" style="272" hidden="1" customWidth="1"/>
    <col min="14082" max="14082" width="0.81640625" style="272" hidden="1" customWidth="1"/>
    <col min="14083" max="14098" width="2.453125" style="272" hidden="1" customWidth="1"/>
    <col min="14099" max="14099" width="4" style="272" hidden="1" customWidth="1"/>
    <col min="14100" max="14119" width="2.453125" style="272" hidden="1" customWidth="1"/>
    <col min="14120" max="14120" width="1.453125" style="272" hidden="1" customWidth="1"/>
    <col min="14121" max="14336" width="2.453125" style="272" hidden="1"/>
    <col min="14337" max="14337" width="1.453125" style="272" hidden="1" customWidth="1"/>
    <col min="14338" max="14338" width="0.81640625" style="272" hidden="1" customWidth="1"/>
    <col min="14339" max="14354" width="2.453125" style="272" hidden="1" customWidth="1"/>
    <col min="14355" max="14355" width="4" style="272" hidden="1" customWidth="1"/>
    <col min="14356" max="14375" width="2.453125" style="272" hidden="1" customWidth="1"/>
    <col min="14376" max="14376" width="1.453125" style="272" hidden="1" customWidth="1"/>
    <col min="14377" max="14592" width="2.453125" style="272" hidden="1"/>
    <col min="14593" max="14593" width="1.453125" style="272" hidden="1" customWidth="1"/>
    <col min="14594" max="14594" width="0.81640625" style="272" hidden="1" customWidth="1"/>
    <col min="14595" max="14610" width="2.453125" style="272" hidden="1" customWidth="1"/>
    <col min="14611" max="14611" width="4" style="272" hidden="1" customWidth="1"/>
    <col min="14612" max="14631" width="2.453125" style="272" hidden="1" customWidth="1"/>
    <col min="14632" max="14632" width="1.453125" style="272" hidden="1" customWidth="1"/>
    <col min="14633" max="14848" width="2.453125" style="272" hidden="1"/>
    <col min="14849" max="14849" width="1.453125" style="272" hidden="1" customWidth="1"/>
    <col min="14850" max="14850" width="0.81640625" style="272" hidden="1" customWidth="1"/>
    <col min="14851" max="14866" width="2.453125" style="272" hidden="1" customWidth="1"/>
    <col min="14867" max="14867" width="4" style="272" hidden="1" customWidth="1"/>
    <col min="14868" max="14887" width="2.453125" style="272" hidden="1" customWidth="1"/>
    <col min="14888" max="14888" width="1.453125" style="272" hidden="1" customWidth="1"/>
    <col min="14889" max="15104" width="2.453125" style="272" hidden="1"/>
    <col min="15105" max="15105" width="1.453125" style="272" hidden="1" customWidth="1"/>
    <col min="15106" max="15106" width="0.81640625" style="272" hidden="1" customWidth="1"/>
    <col min="15107" max="15122" width="2.453125" style="272" hidden="1" customWidth="1"/>
    <col min="15123" max="15123" width="4" style="272" hidden="1" customWidth="1"/>
    <col min="15124" max="15143" width="2.453125" style="272" hidden="1" customWidth="1"/>
    <col min="15144" max="15144" width="1.453125" style="272" hidden="1" customWidth="1"/>
    <col min="15145" max="15360" width="2.453125" style="272" hidden="1"/>
    <col min="15361" max="15361" width="1.453125" style="272" hidden="1" customWidth="1"/>
    <col min="15362" max="15362" width="0.81640625" style="272" hidden="1" customWidth="1"/>
    <col min="15363" max="15378" width="2.453125" style="272" hidden="1" customWidth="1"/>
    <col min="15379" max="15379" width="4" style="272" hidden="1" customWidth="1"/>
    <col min="15380" max="15399" width="2.453125" style="272" hidden="1" customWidth="1"/>
    <col min="15400" max="15400" width="1.453125" style="272" hidden="1" customWidth="1"/>
    <col min="15401" max="15616" width="2.453125" style="272" hidden="1"/>
    <col min="15617" max="15617" width="1.453125" style="272" hidden="1" customWidth="1"/>
    <col min="15618" max="15618" width="0.81640625" style="272" hidden="1" customWidth="1"/>
    <col min="15619" max="15634" width="2.453125" style="272" hidden="1" customWidth="1"/>
    <col min="15635" max="15635" width="4" style="272" hidden="1" customWidth="1"/>
    <col min="15636" max="15655" width="2.453125" style="272" hidden="1" customWidth="1"/>
    <col min="15656" max="15656" width="1.453125" style="272" hidden="1" customWidth="1"/>
    <col min="15657" max="15872" width="2.453125" style="272" hidden="1"/>
    <col min="15873" max="15873" width="1.453125" style="272" hidden="1" customWidth="1"/>
    <col min="15874" max="15874" width="0.81640625" style="272" hidden="1" customWidth="1"/>
    <col min="15875" max="15890" width="2.453125" style="272" hidden="1" customWidth="1"/>
    <col min="15891" max="15891" width="4" style="272" hidden="1" customWidth="1"/>
    <col min="15892" max="15911" width="2.453125" style="272" hidden="1" customWidth="1"/>
    <col min="15912" max="15912" width="1.453125" style="272" hidden="1" customWidth="1"/>
    <col min="15913" max="16128" width="2.453125" style="272" hidden="1"/>
    <col min="16129" max="16129" width="1.453125" style="272" hidden="1" customWidth="1"/>
    <col min="16130" max="16130" width="0.81640625" style="272" hidden="1" customWidth="1"/>
    <col min="16131" max="16146" width="2.453125" style="272" hidden="1" customWidth="1"/>
    <col min="16147" max="16147" width="4" style="272" hidden="1" customWidth="1"/>
    <col min="16148" max="16167" width="2.453125" style="272" hidden="1" customWidth="1"/>
    <col min="16168" max="16168" width="1.453125" style="272" hidden="1" customWidth="1"/>
    <col min="16169" max="16384" width="2.453125" style="272" hidden="1"/>
  </cols>
  <sheetData>
    <row r="1" spans="1:40" ht="13" customHeight="1">
      <c r="A1" s="2288" t="s">
        <v>2068</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 customHeight="1">
      <c r="A4" s="274"/>
    </row>
    <row r="5" spans="1:40" ht="13" customHeight="1">
      <c r="A5" s="274" t="s">
        <v>872</v>
      </c>
      <c r="C5" s="274" t="s">
        <v>270</v>
      </c>
      <c r="F5" s="274"/>
    </row>
    <row r="6" spans="1:40" ht="13" customHeight="1">
      <c r="A6" s="274"/>
      <c r="C6" s="272" t="s">
        <v>2069</v>
      </c>
    </row>
    <row r="7" spans="1:40" ht="13" customHeight="1">
      <c r="B7" s="275"/>
      <c r="C7" s="276"/>
      <c r="D7" s="276"/>
      <c r="E7" s="276"/>
      <c r="F7" s="276"/>
      <c r="G7" s="276"/>
      <c r="H7" s="276"/>
      <c r="I7" s="276"/>
      <c r="J7" s="276"/>
      <c r="K7" s="276"/>
      <c r="L7" s="276"/>
      <c r="M7" s="276"/>
      <c r="N7" s="276"/>
      <c r="O7" s="276"/>
      <c r="P7" s="276"/>
      <c r="Q7" s="276"/>
      <c r="R7" s="276"/>
      <c r="S7" s="276"/>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3" customHeight="1">
      <c r="B8" s="277"/>
      <c r="T8" s="2290"/>
      <c r="U8" s="2290"/>
      <c r="V8" s="2290"/>
      <c r="W8" s="2290"/>
      <c r="X8" s="2290"/>
      <c r="Y8" s="2290"/>
      <c r="Z8" s="2290"/>
      <c r="AA8" s="2290"/>
      <c r="AB8" s="2290"/>
      <c r="AC8" s="2290"/>
      <c r="AD8" s="2290"/>
      <c r="AE8" s="2290"/>
      <c r="AF8" s="2290"/>
      <c r="AG8" s="2290"/>
      <c r="AH8" s="2290"/>
      <c r="AI8" s="2290"/>
      <c r="AJ8" s="2290"/>
      <c r="AK8" s="2290"/>
      <c r="AL8" s="2290"/>
      <c r="AM8" s="2290"/>
    </row>
    <row r="9" spans="1:40" ht="13" customHeight="1">
      <c r="B9" s="277"/>
      <c r="T9" s="2290"/>
      <c r="U9" s="2290"/>
      <c r="V9" s="2290"/>
      <c r="W9" s="2290"/>
      <c r="X9" s="2290"/>
      <c r="Y9" s="2290"/>
      <c r="Z9" s="2290"/>
      <c r="AA9" s="2290"/>
      <c r="AB9" s="2290"/>
      <c r="AC9" s="2290"/>
      <c r="AD9" s="2290"/>
      <c r="AE9" s="2290"/>
      <c r="AF9" s="2290"/>
      <c r="AG9" s="2290"/>
      <c r="AH9" s="2290"/>
      <c r="AI9" s="2290"/>
      <c r="AJ9" s="2290"/>
      <c r="AK9" s="2290"/>
      <c r="AL9" s="2290"/>
      <c r="AM9" s="2290"/>
    </row>
    <row r="10" spans="1:40" ht="13" customHeight="1">
      <c r="B10" s="278"/>
      <c r="C10" s="279"/>
      <c r="D10" s="279"/>
      <c r="E10" s="279"/>
      <c r="F10" s="279"/>
      <c r="G10" s="279"/>
      <c r="H10" s="279"/>
      <c r="I10" s="279"/>
      <c r="J10" s="279"/>
      <c r="K10" s="279"/>
      <c r="L10" s="279"/>
      <c r="M10" s="279"/>
      <c r="N10" s="279"/>
      <c r="O10" s="279"/>
      <c r="P10" s="279"/>
      <c r="Q10" s="279"/>
      <c r="R10" s="279"/>
      <c r="S10" s="279"/>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3" customHeight="1">
      <c r="B11" s="2269" t="s">
        <v>1886</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40308711</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0</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3" customHeight="1">
      <c r="B12" s="2284" t="s">
        <v>2070</v>
      </c>
      <c r="C12" s="1247"/>
      <c r="D12" s="1247"/>
      <c r="E12" s="1247"/>
      <c r="F12" s="1247"/>
      <c r="G12" s="1247"/>
      <c r="H12" s="1247"/>
      <c r="I12" s="1247"/>
      <c r="J12" s="1247"/>
      <c r="K12" s="1247"/>
      <c r="L12" s="1247"/>
      <c r="M12" s="1247"/>
      <c r="N12" s="1247"/>
      <c r="O12" s="1247"/>
      <c r="P12" s="1247"/>
      <c r="Q12" s="1247"/>
      <c r="R12" s="1247"/>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 customHeight="1">
      <c r="B13" s="303"/>
      <c r="C13" s="2286" t="s">
        <v>2071</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3" customHeight="1">
      <c r="B14" s="303"/>
      <c r="C14" s="2286" t="s">
        <v>2072</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3" customHeight="1">
      <c r="B15" s="303"/>
      <c r="C15" s="2286" t="s">
        <v>2073</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3" customHeight="1">
      <c r="B16" s="303"/>
      <c r="C16" s="2286" t="s">
        <v>2074</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3" customHeight="1">
      <c r="B17" s="303"/>
      <c r="C17" s="2286" t="s">
        <v>2075</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3" customHeight="1">
      <c r="A18"/>
      <c r="B18" s="933"/>
      <c r="C18" s="1742" t="s">
        <v>2076</v>
      </c>
      <c r="D18" s="1742"/>
      <c r="E18" s="1742"/>
      <c r="F18" s="1742"/>
      <c r="G18" s="1742"/>
      <c r="H18" s="1742"/>
      <c r="I18" s="1742"/>
      <c r="J18" s="1742"/>
      <c r="K18" s="1742"/>
      <c r="L18" s="1742"/>
      <c r="M18" s="1742"/>
      <c r="N18" s="1742"/>
      <c r="O18" s="1742"/>
      <c r="P18" s="1742"/>
      <c r="Q18" s="1742"/>
      <c r="R18" s="1742"/>
      <c r="S18" s="1743"/>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3" customHeight="1">
      <c r="B19" s="933"/>
      <c r="C19" s="1742" t="s">
        <v>2076</v>
      </c>
      <c r="D19" s="1742"/>
      <c r="E19" s="1742"/>
      <c r="F19" s="1742"/>
      <c r="G19" s="1742"/>
      <c r="H19" s="1742"/>
      <c r="I19" s="1742"/>
      <c r="J19" s="1742"/>
      <c r="K19" s="1742"/>
      <c r="L19" s="1742"/>
      <c r="M19" s="1742"/>
      <c r="N19" s="1742"/>
      <c r="O19" s="1742"/>
      <c r="P19" s="1742"/>
      <c r="Q19" s="1742"/>
      <c r="R19" s="1742"/>
      <c r="S19" s="1743"/>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3" customHeight="1">
      <c r="B20" s="2269" t="s">
        <v>2077</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3" customHeight="1">
      <c r="B21" s="2269" t="s">
        <v>2078</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3" customHeight="1">
      <c r="B22" s="2269" t="s">
        <v>2079</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3" customHeight="1">
      <c r="B23" s="2269" t="s">
        <v>2080</v>
      </c>
      <c r="C23" s="2270"/>
      <c r="D23" s="2270"/>
      <c r="E23" s="2270"/>
      <c r="F23" s="2270"/>
      <c r="G23" s="2270"/>
      <c r="H23" s="2270"/>
      <c r="I23" s="2270"/>
      <c r="J23" s="2270"/>
      <c r="K23" s="2270"/>
      <c r="L23" s="2270"/>
      <c r="M23" s="2270"/>
      <c r="N23" s="2270"/>
      <c r="O23" s="2270"/>
      <c r="P23" s="2270"/>
      <c r="Q23" s="2270"/>
      <c r="R23" s="2270"/>
      <c r="S23" s="2271"/>
      <c r="T23" s="2262">
        <f>T11+T22</f>
        <v>40308711</v>
      </c>
      <c r="U23" s="2263"/>
      <c r="V23" s="2263"/>
      <c r="W23" s="2263"/>
      <c r="X23" s="2263"/>
      <c r="Y23" s="2262">
        <f>Y11+Y22</f>
        <v>0</v>
      </c>
      <c r="Z23" s="2263"/>
      <c r="AA23" s="2263"/>
      <c r="AB23" s="2263"/>
      <c r="AC23" s="2263"/>
      <c r="AD23" s="2262">
        <f>AD11+AD22</f>
        <v>0</v>
      </c>
      <c r="AE23" s="2263"/>
      <c r="AF23" s="2263"/>
      <c r="AG23" s="2263"/>
      <c r="AH23" s="2263"/>
      <c r="AI23" s="2262">
        <f>AI11+AI22</f>
        <v>0</v>
      </c>
      <c r="AJ23" s="2263"/>
      <c r="AK23" s="2263"/>
      <c r="AL23" s="2263"/>
      <c r="AM23" s="2263"/>
    </row>
    <row r="24" spans="1:40" ht="13" customHeight="1">
      <c r="B24" s="2269" t="s">
        <v>2081</v>
      </c>
      <c r="C24" s="2270"/>
      <c r="D24" s="2270"/>
      <c r="E24" s="2270"/>
      <c r="F24" s="2270"/>
      <c r="G24" s="2270"/>
      <c r="H24" s="2270"/>
      <c r="I24" s="2270"/>
      <c r="J24" s="2270"/>
      <c r="K24" s="2270"/>
      <c r="L24" s="2270"/>
      <c r="M24" s="2270"/>
      <c r="N24" s="2270"/>
      <c r="O24" s="2270"/>
      <c r="P24" s="2270"/>
      <c r="Q24" s="2270"/>
      <c r="R24" s="2270"/>
      <c r="S24" s="2271"/>
      <c r="T24" s="2264">
        <f>Application!AJ1053</f>
        <v>63865470.32</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3" customHeight="1">
      <c r="B25" s="2273" t="s">
        <v>2082</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3" customHeight="1">
      <c r="B26" s="2269" t="s">
        <v>2083</v>
      </c>
      <c r="C26" s="2270"/>
      <c r="D26" s="2270"/>
      <c r="E26" s="2270"/>
      <c r="F26" s="2270"/>
      <c r="G26" s="2270"/>
      <c r="H26" s="2270"/>
      <c r="I26" s="2270"/>
      <c r="J26" s="2270"/>
      <c r="K26" s="2270"/>
      <c r="L26" s="2270"/>
      <c r="M26" s="2270"/>
      <c r="N26" s="2270"/>
      <c r="O26" s="2270"/>
      <c r="P26" s="2270"/>
      <c r="Q26" s="2270"/>
      <c r="R26" s="2270"/>
      <c r="S26" s="2271"/>
      <c r="T26" s="2262">
        <f>T23*T25</f>
        <v>52401324.300000004</v>
      </c>
      <c r="U26" s="2263"/>
      <c r="V26" s="2263"/>
      <c r="W26" s="2263"/>
      <c r="X26" s="2263"/>
      <c r="Y26" s="2262">
        <f>Y23*Y25</f>
        <v>0</v>
      </c>
      <c r="Z26" s="2263"/>
      <c r="AA26" s="2263"/>
      <c r="AB26" s="2263"/>
      <c r="AC26" s="2263"/>
      <c r="AD26" s="2262">
        <f>AD23*AD25</f>
        <v>0</v>
      </c>
      <c r="AE26" s="2263"/>
      <c r="AF26" s="2263"/>
      <c r="AG26" s="2263"/>
      <c r="AH26" s="2263"/>
      <c r="AI26" s="2262">
        <f>AI23*AI25</f>
        <v>0</v>
      </c>
      <c r="AJ26" s="2263"/>
      <c r="AK26" s="2263"/>
      <c r="AL26" s="2263"/>
      <c r="AM26" s="2263"/>
    </row>
    <row r="27" spans="1:40" ht="13" customHeight="1">
      <c r="A27" s="280"/>
      <c r="B27" s="2276" t="s">
        <v>2084</v>
      </c>
      <c r="C27" s="2277"/>
      <c r="D27" s="2277"/>
      <c r="E27" s="2277"/>
      <c r="F27" s="2277"/>
      <c r="G27" s="2277"/>
      <c r="H27" s="2277"/>
      <c r="I27" s="2277"/>
      <c r="J27" s="2277"/>
      <c r="K27" s="2277"/>
      <c r="L27" s="2277"/>
      <c r="M27" s="2277"/>
      <c r="N27" s="2277"/>
      <c r="O27" s="2277"/>
      <c r="P27" s="2277"/>
      <c r="Q27" s="2277"/>
      <c r="R27" s="2277"/>
      <c r="S27" s="2278"/>
      <c r="T27" s="2282">
        <f>Application!$AG$445</f>
        <v>1</v>
      </c>
      <c r="U27" s="2283"/>
      <c r="V27" s="2283"/>
      <c r="W27" s="2283"/>
      <c r="X27" s="2283"/>
      <c r="Y27" s="2282">
        <f>Application!$AG$445</f>
        <v>1</v>
      </c>
      <c r="Z27" s="2283"/>
      <c r="AA27" s="2283"/>
      <c r="AB27" s="2283"/>
      <c r="AC27" s="2283"/>
      <c r="AD27" s="2282">
        <f>Application!$AG$445</f>
        <v>1</v>
      </c>
      <c r="AE27" s="2283"/>
      <c r="AF27" s="2283"/>
      <c r="AG27" s="2283"/>
      <c r="AH27" s="2283"/>
      <c r="AI27" s="2282">
        <f>Application!$AG$445</f>
        <v>1</v>
      </c>
      <c r="AJ27" s="2283"/>
      <c r="AK27" s="2283"/>
      <c r="AL27" s="2283"/>
      <c r="AM27" s="2283"/>
    </row>
    <row r="28" spans="1:40" ht="13" customHeight="1">
      <c r="A28" s="274"/>
      <c r="B28" s="2269" t="s">
        <v>2085</v>
      </c>
      <c r="C28" s="2270"/>
      <c r="D28" s="2270"/>
      <c r="E28" s="2270"/>
      <c r="F28" s="2270"/>
      <c r="G28" s="2270"/>
      <c r="H28" s="2270"/>
      <c r="I28" s="2270"/>
      <c r="J28" s="2270"/>
      <c r="K28" s="2270"/>
      <c r="L28" s="2270"/>
      <c r="M28" s="2270"/>
      <c r="N28" s="2270"/>
      <c r="O28" s="2270"/>
      <c r="P28" s="2270"/>
      <c r="Q28" s="2270"/>
      <c r="R28" s="2270"/>
      <c r="S28" s="2271"/>
      <c r="T28" s="2262">
        <f>IF(ISERROR((T26*T27)),0,(T26*T27))</f>
        <v>52401324.300000004</v>
      </c>
      <c r="U28" s="2263"/>
      <c r="V28" s="2263"/>
      <c r="W28" s="2263"/>
      <c r="X28" s="2263"/>
      <c r="Y28" s="2262">
        <f>IF(ISERROR((Y26*Y27)),0,(Y26*Y27))</f>
        <v>0</v>
      </c>
      <c r="Z28" s="2263"/>
      <c r="AA28" s="2263"/>
      <c r="AB28" s="2263"/>
      <c r="AC28" s="2263"/>
      <c r="AD28" s="2262">
        <f>IF(ISERROR((AD26*AD27)),0,(AD26*AD27))</f>
        <v>0</v>
      </c>
      <c r="AE28" s="2263"/>
      <c r="AF28" s="2263"/>
      <c r="AG28" s="2263"/>
      <c r="AH28" s="2263"/>
      <c r="AI28" s="2262">
        <f>IF(ISERROR((AI26*AI27)),0,(AI26*AI27))</f>
        <v>0</v>
      </c>
      <c r="AJ28" s="2263"/>
      <c r="AK28" s="2263"/>
      <c r="AL28" s="2263"/>
      <c r="AM28" s="2263"/>
    </row>
    <row r="29" spans="1:40" ht="13" customHeight="1">
      <c r="B29" s="2269" t="s">
        <v>2086</v>
      </c>
      <c r="C29" s="2270"/>
      <c r="D29" s="2270"/>
      <c r="E29" s="2270"/>
      <c r="F29" s="2270"/>
      <c r="G29" s="2270"/>
      <c r="H29" s="2270"/>
      <c r="I29" s="2270"/>
      <c r="J29" s="2270"/>
      <c r="K29" s="2270"/>
      <c r="L29" s="2270"/>
      <c r="M29" s="2270"/>
      <c r="N29" s="2270"/>
      <c r="O29" s="2270"/>
      <c r="P29" s="2270"/>
      <c r="Q29" s="2270"/>
      <c r="R29" s="2270"/>
      <c r="S29" s="2271"/>
      <c r="T29" s="2264">
        <f>T28+Y28+AD28+AI28</f>
        <v>52401324.300000004</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3" customHeight="1">
      <c r="B30" s="2272" t="s">
        <v>2087</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3" customHeight="1">
      <c r="B31" s="2272" t="s">
        <v>2088</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369"/>
    </row>
    <row r="32" spans="1:40" ht="13" customHeight="1">
      <c r="B32" s="1185"/>
      <c r="C32" s="362" t="s">
        <v>2089</v>
      </c>
      <c r="D32" s="1185"/>
      <c r="E32" s="1185"/>
      <c r="F32" s="1185"/>
      <c r="G32" s="1185"/>
      <c r="H32" s="1185"/>
      <c r="I32" s="1185"/>
      <c r="J32" s="1185"/>
      <c r="K32" s="1185"/>
      <c r="L32" s="1185"/>
      <c r="M32" s="1185"/>
      <c r="N32" s="1185"/>
      <c r="O32" s="1185"/>
      <c r="P32" s="1185"/>
      <c r="Q32" s="1185"/>
      <c r="R32" s="1185"/>
      <c r="S32" s="1185"/>
      <c r="T32" s="1185"/>
      <c r="U32" s="1185"/>
      <c r="V32" s="1185"/>
      <c r="W32" s="1185"/>
      <c r="X32" s="1185"/>
      <c r="Y32" s="1185"/>
      <c r="Z32" s="1185"/>
      <c r="AA32" s="1185"/>
      <c r="AB32" s="1185"/>
      <c r="AC32" s="1185"/>
      <c r="AD32" s="1185"/>
      <c r="AE32" s="1185"/>
      <c r="AF32" s="1185"/>
      <c r="AG32" s="1185"/>
      <c r="AH32" s="1185"/>
      <c r="AI32" s="1185"/>
      <c r="AJ32" s="1185"/>
      <c r="AK32" s="1185"/>
      <c r="AL32" s="1185"/>
      <c r="AM32" s="1185"/>
    </row>
    <row r="34" spans="1:76" ht="13" customHeight="1">
      <c r="A34" s="274" t="s">
        <v>913</v>
      </c>
      <c r="C34" s="274" t="s">
        <v>279</v>
      </c>
    </row>
    <row r="35" spans="1:76" ht="13"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90" t="s">
        <v>2090</v>
      </c>
      <c r="Z35" s="2290"/>
      <c r="AA35" s="2290"/>
      <c r="AB35" s="2290"/>
      <c r="AC35" s="2290"/>
      <c r="AD35" s="2310" t="s">
        <v>2091</v>
      </c>
      <c r="AE35" s="2310"/>
      <c r="AF35" s="2310"/>
      <c r="AG35" s="2310"/>
      <c r="AH35" s="2310"/>
    </row>
    <row r="36" spans="1:76" ht="13" customHeight="1">
      <c r="B36" s="277"/>
      <c r="X36" s="282"/>
      <c r="Y36" s="2290"/>
      <c r="Z36" s="2290"/>
      <c r="AA36" s="2290"/>
      <c r="AB36" s="2290"/>
      <c r="AC36" s="2290"/>
      <c r="AD36" s="2310"/>
      <c r="AE36" s="2310"/>
      <c r="AF36" s="2310"/>
      <c r="AG36" s="2310"/>
      <c r="AH36" s="2310"/>
    </row>
    <row r="37" spans="1:76" ht="13"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90"/>
      <c r="Z37" s="2290"/>
      <c r="AA37" s="2290"/>
      <c r="AB37" s="2290"/>
      <c r="AC37" s="2290"/>
      <c r="AD37" s="2310"/>
      <c r="AE37" s="2310"/>
      <c r="AF37" s="2310"/>
      <c r="AG37" s="2310"/>
      <c r="AH37" s="2310"/>
    </row>
    <row r="38" spans="1:76" ht="13" customHeight="1">
      <c r="A38" s="274"/>
      <c r="B38" s="2269" t="s">
        <v>2085</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52401324.300000004</v>
      </c>
      <c r="Z38" s="2263"/>
      <c r="AA38" s="2263"/>
      <c r="AB38" s="2263"/>
      <c r="AC38" s="2263"/>
      <c r="AD38" s="2263">
        <f>IF(T24&gt;=(T23+Y23+AD23+AI23),AD28+AI28,0)</f>
        <v>0</v>
      </c>
      <c r="AE38" s="2263"/>
      <c r="AF38" s="2263"/>
      <c r="AG38" s="2263"/>
      <c r="AH38" s="2263"/>
    </row>
    <row r="39" spans="1:76" ht="13" customHeight="1">
      <c r="B39" s="2269" t="s">
        <v>2092</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3" customHeight="1">
      <c r="A40" s="274"/>
      <c r="B40" s="2269" t="s">
        <v>2093</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2096053</v>
      </c>
      <c r="Z40" s="2263"/>
      <c r="AA40" s="2263"/>
      <c r="AB40" s="2263"/>
      <c r="AC40" s="2263"/>
      <c r="AD40" s="2262">
        <f>ROUND(AD38*AD39,0)</f>
        <v>0</v>
      </c>
      <c r="AE40" s="2263"/>
      <c r="AF40" s="2263"/>
      <c r="AG40" s="2263"/>
      <c r="AH40" s="2263"/>
    </row>
    <row r="41" spans="1:76" ht="13" customHeight="1">
      <c r="B41" s="2269" t="s">
        <v>2094</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2096053</v>
      </c>
      <c r="Z41" s="2265"/>
      <c r="AA41" s="2265"/>
      <c r="AB41" s="2265"/>
      <c r="AC41" s="2265"/>
      <c r="AD41" s="2265"/>
      <c r="AE41" s="2265"/>
      <c r="AF41" s="2265"/>
      <c r="AG41" s="2265"/>
      <c r="AH41" s="2262"/>
    </row>
    <row r="42" spans="1:76" ht="13"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row>
    <row r="43" spans="1:76" ht="13"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3" customHeight="1" thickBot="1">
      <c r="A44" s="2267" t="s">
        <v>2095</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13" customFormat="1" ht="13" customHeight="1" thickTop="1"/>
    <row r="46" spans="1:76" ht="13" customHeight="1">
      <c r="A46" s="274" t="s">
        <v>992</v>
      </c>
      <c r="C46" s="274" t="s">
        <v>282</v>
      </c>
    </row>
    <row r="47" spans="1:76" ht="13" customHeight="1">
      <c r="D47" s="274" t="s">
        <v>677</v>
      </c>
      <c r="AB47" s="2279">
        <f>'Sources and Uses Budget'!B105-MAX(IF('Sources and Uses Budget'!B15="",0,'Sources and Uses Budget'!B15),IF(Application!AG394="",0,Application!AG394))</f>
        <v>43095977</v>
      </c>
      <c r="AC47" s="2280"/>
      <c r="AD47" s="2280"/>
      <c r="AE47" s="2280"/>
      <c r="AF47" s="2281"/>
    </row>
    <row r="48" spans="1:76" ht="13" customHeight="1">
      <c r="D48" s="274" t="s">
        <v>175</v>
      </c>
      <c r="AB48" s="2279">
        <f>Application!AO639-MAX(IF('Sources and Uses Budget'!B15="",0,'Sources and Uses Budget'!B15),IF(Application!AG394="",0,Application!AG394))</f>
        <v>24652555</v>
      </c>
      <c r="AC48" s="2280"/>
      <c r="AD48" s="2280"/>
      <c r="AE48" s="2280"/>
      <c r="AF48" s="2281"/>
    </row>
    <row r="49" spans="1:76" ht="13" customHeight="1">
      <c r="D49" s="274" t="s">
        <v>2096</v>
      </c>
      <c r="AB49" s="2279">
        <f>AB47-AB48</f>
        <v>18443422</v>
      </c>
      <c r="AC49" s="2280"/>
      <c r="AD49" s="2280"/>
      <c r="AE49" s="2280"/>
      <c r="AF49" s="2281"/>
    </row>
    <row r="50" spans="1:76" ht="13" customHeight="1">
      <c r="D50" s="274" t="s">
        <v>2097</v>
      </c>
      <c r="AA50" s="285"/>
      <c r="AB50" s="2306">
        <f>0.88*99.99%</f>
        <v>0.87991199999999992</v>
      </c>
      <c r="AC50" s="2307"/>
      <c r="AD50" s="2307"/>
      <c r="AE50" s="2307"/>
      <c r="AF50" s="2308"/>
    </row>
    <row r="51" spans="1:76" s="286" customFormat="1" ht="13" customHeight="1">
      <c r="A51" s="272"/>
      <c r="B51" s="272"/>
      <c r="C51" s="272"/>
      <c r="D51" s="272"/>
      <c r="E51" s="2309" t="s">
        <v>2098</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1119"/>
      <c r="AB51" s="1119"/>
      <c r="AC51" s="1119"/>
      <c r="AD51" s="1119"/>
      <c r="AE51" s="1119"/>
      <c r="AF51" s="1119"/>
      <c r="AG51" s="272"/>
      <c r="AH51" s="272"/>
      <c r="AI51" s="272"/>
      <c r="AJ51" s="272"/>
      <c r="AK51" s="272"/>
      <c r="AL51" s="272"/>
      <c r="AM51" s="272"/>
      <c r="AN51" s="272"/>
    </row>
    <row r="52" spans="1:76" s="286" customFormat="1" ht="13" customHeight="1">
      <c r="A52" s="272"/>
      <c r="B52" s="272"/>
      <c r="C52" s="272"/>
      <c r="D52" s="272"/>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287"/>
      <c r="AB52" s="287"/>
      <c r="AC52" s="287"/>
      <c r="AD52" s="287"/>
      <c r="AE52" s="287"/>
      <c r="AF52" s="287"/>
      <c r="AG52" s="288"/>
      <c r="AH52" s="272"/>
      <c r="AI52" s="272"/>
      <c r="AJ52" s="272"/>
      <c r="AK52" s="272"/>
      <c r="AL52" s="272"/>
      <c r="AM52" s="272"/>
      <c r="AN52" s="272"/>
    </row>
    <row r="53" spans="1:76" ht="13" customHeight="1">
      <c r="E53" s="1119"/>
      <c r="F53" s="1119"/>
      <c r="G53" s="1119"/>
      <c r="H53" s="1119"/>
      <c r="I53" s="1119"/>
      <c r="J53" s="1119"/>
      <c r="K53" s="1119"/>
      <c r="L53" s="1119"/>
      <c r="M53" s="1119"/>
      <c r="N53" s="1119"/>
      <c r="O53" s="1119"/>
      <c r="P53" s="1119"/>
      <c r="Q53" s="1119"/>
      <c r="R53" s="1119"/>
      <c r="S53" s="1119"/>
      <c r="T53" s="1119"/>
      <c r="U53" s="1119"/>
      <c r="V53" s="1119"/>
      <c r="W53" s="1119"/>
      <c r="X53" s="1119"/>
      <c r="Y53" s="1119"/>
      <c r="Z53" s="1119"/>
    </row>
    <row r="54" spans="1:76" ht="13" customHeight="1">
      <c r="D54" s="274" t="s">
        <v>2099</v>
      </c>
      <c r="AB54" s="2279">
        <f>ROUND(IF(ISERROR((AB49/AB50)),0,(AB49/AB50)),0)</f>
        <v>20960530</v>
      </c>
      <c r="AC54" s="2280"/>
      <c r="AD54" s="2280"/>
      <c r="AE54" s="2280"/>
      <c r="AF54" s="2281"/>
    </row>
    <row r="55" spans="1:76" ht="13" customHeight="1">
      <c r="D55" s="274" t="s">
        <v>2100</v>
      </c>
      <c r="AB55" s="2279">
        <f>(AB54/10)</f>
        <v>2096053</v>
      </c>
      <c r="AC55" s="2280"/>
      <c r="AD55" s="2280"/>
      <c r="AE55" s="2280"/>
      <c r="AF55" s="2281"/>
    </row>
    <row r="56" spans="1:76" ht="13" customHeight="1">
      <c r="D56" s="274" t="s">
        <v>2101</v>
      </c>
      <c r="AB56" s="2279">
        <f>ROUND((IF((Y41&lt;AB55),Y41,AB55)),0)</f>
        <v>2096053</v>
      </c>
      <c r="AC56" s="2280"/>
      <c r="AD56" s="2280"/>
      <c r="AE56" s="2280"/>
      <c r="AF56" s="2281"/>
    </row>
    <row r="57" spans="1:76" ht="13" customHeight="1">
      <c r="D57" s="274" t="s">
        <v>2102</v>
      </c>
      <c r="AB57" s="2279">
        <f>ROUND((10*AB56*AB50),0)</f>
        <v>18443422</v>
      </c>
      <c r="AC57" s="2280"/>
      <c r="AD57" s="2280"/>
      <c r="AE57" s="2280"/>
      <c r="AF57" s="2281"/>
    </row>
    <row r="58" spans="1:76" ht="13" customHeight="1">
      <c r="D58" s="274"/>
      <c r="AB58" s="292"/>
      <c r="AC58" s="292"/>
      <c r="AD58" s="292"/>
      <c r="AE58" s="292"/>
      <c r="AF58" s="292"/>
    </row>
    <row r="59" spans="1:76" ht="13" customHeight="1">
      <c r="D59" s="274" t="s">
        <v>2103</v>
      </c>
      <c r="AB59" s="2302">
        <f>AB49-AB57</f>
        <v>0</v>
      </c>
      <c r="AC59" s="2302"/>
      <c r="AD59" s="2302"/>
      <c r="AE59" s="2302"/>
      <c r="AF59" s="2302"/>
    </row>
    <row r="60" spans="1:76" ht="13" customHeight="1">
      <c r="D60" s="274"/>
      <c r="AB60" s="292"/>
      <c r="AC60" s="292"/>
      <c r="AD60" s="292"/>
      <c r="AE60" s="292"/>
      <c r="AF60" s="292"/>
    </row>
    <row r="61" spans="1:76" s="113" customFormat="1" ht="13"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13" customFormat="1" ht="13" customHeight="1" thickTop="1"/>
    <row r="63" spans="1:76" ht="13" customHeight="1">
      <c r="A63" s="274" t="s">
        <v>1010</v>
      </c>
      <c r="C63" s="114" t="s">
        <v>2104</v>
      </c>
      <c r="Y63" s="2303" t="s">
        <v>2105</v>
      </c>
      <c r="Z63" s="2303"/>
      <c r="AA63" s="2303"/>
      <c r="AB63" s="2303"/>
      <c r="AC63" s="2303"/>
      <c r="AD63" s="2303" t="s">
        <v>2091</v>
      </c>
      <c r="AE63" s="2303"/>
      <c r="AF63" s="2303"/>
      <c r="AG63" s="2303"/>
      <c r="AH63" s="2303"/>
    </row>
    <row r="64" spans="1:76" ht="13" customHeight="1">
      <c r="C64" s="274"/>
      <c r="D64" s="250" t="s">
        <v>2106</v>
      </c>
      <c r="E64" s="289"/>
      <c r="F64" s="289"/>
      <c r="G64" s="289"/>
      <c r="H64" s="289"/>
      <c r="I64" s="289"/>
      <c r="J64" s="289"/>
      <c r="K64" s="289"/>
      <c r="L64" s="289"/>
      <c r="M64" s="289"/>
      <c r="N64" s="289"/>
      <c r="O64" s="289"/>
      <c r="P64" s="289"/>
      <c r="Q64" s="289"/>
      <c r="R64" s="289"/>
      <c r="S64" s="289"/>
      <c r="T64" s="289"/>
      <c r="U64" s="289"/>
      <c r="V64" s="289"/>
      <c r="W64" s="289"/>
      <c r="X64" s="289"/>
      <c r="Y64" s="2264">
        <f>IF(Application!$Z$205="(select)",0,((T23*T27)+Y28))</f>
        <v>0</v>
      </c>
      <c r="Z64" s="2304"/>
      <c r="AA64" s="2304"/>
      <c r="AB64" s="2304"/>
      <c r="AC64" s="2305"/>
      <c r="AD64" s="2264">
        <f>IF(AND(OR(Application!D211="At-Risk",Application!D211="At-Risk and Special Needs"),Application!M358="yes"),AD28+AI28,0)</f>
        <v>0</v>
      </c>
      <c r="AE64" s="2304"/>
      <c r="AF64" s="2304"/>
      <c r="AG64" s="2304"/>
      <c r="AH64" s="2305"/>
    </row>
    <row r="65" spans="1:36" ht="13" customHeight="1">
      <c r="C65" s="274"/>
      <c r="E65" s="806" t="s">
        <v>2107</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C66" s="274"/>
      <c r="E66" s="806" t="s">
        <v>2108</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3" customHeight="1">
      <c r="C67" s="274"/>
      <c r="D67" s="274" t="s">
        <v>2109</v>
      </c>
      <c r="E67" s="290"/>
      <c r="F67" s="290"/>
      <c r="G67" s="290"/>
      <c r="H67" s="290"/>
      <c r="I67" s="290"/>
      <c r="J67" s="290"/>
      <c r="K67" s="290"/>
      <c r="L67" s="290"/>
      <c r="M67" s="290"/>
      <c r="N67" s="290"/>
      <c r="O67" s="290"/>
      <c r="P67" s="290"/>
      <c r="Q67" s="290"/>
      <c r="R67" s="290"/>
      <c r="S67" s="290"/>
      <c r="T67" s="290"/>
      <c r="U67" s="290"/>
      <c r="V67" s="290"/>
      <c r="W67" s="290"/>
      <c r="X67" s="290"/>
      <c r="Y67" s="2317" cm="1">
        <f t="array" ref="Y67">_xlfn.IFS(OR(Application!Z205="State Farmworker Credit",Application!Z205="$500M (Farmworker Housing)"),0.75,Application!Z205="15% set-aside",0.13,Application!Z205="15% set-aside with qualifying low value rehab",0.95,Application!Z205="$500M",0.3,TRUE,0)</f>
        <v>0</v>
      </c>
      <c r="Z67" s="2317"/>
      <c r="AA67" s="2317"/>
      <c r="AB67" s="2317"/>
      <c r="AC67" s="2317"/>
      <c r="AD67" s="2317" cm="1">
        <f t="array" ref="AD67">_xlfn.IFS(Application!Z205="15% set-aside with qualifying low value rehab", 0.95,OR(Application!D211="At-Risk",'Points System'!B13="Yes"),0.13,TRUE,0)</f>
        <v>0</v>
      </c>
      <c r="AE67" s="2317"/>
      <c r="AF67" s="2317"/>
      <c r="AG67" s="2317"/>
      <c r="AH67" s="2317"/>
    </row>
    <row r="68" spans="1:36" ht="13" customHeight="1">
      <c r="C68" s="274"/>
      <c r="D68" s="114" t="s">
        <v>2110</v>
      </c>
      <c r="Y68" s="2263">
        <f>ROUND(Y64*Y67,0)</f>
        <v>0</v>
      </c>
      <c r="Z68" s="2318"/>
      <c r="AA68" s="2318"/>
      <c r="AB68" s="2318"/>
      <c r="AC68" s="2318"/>
      <c r="AD68" s="2263">
        <f>ROUND(AD64*AD67,0)</f>
        <v>0</v>
      </c>
      <c r="AE68" s="2318"/>
      <c r="AF68" s="2318"/>
      <c r="AG68" s="2318"/>
      <c r="AH68" s="2318"/>
    </row>
    <row r="69" spans="1:36" ht="13" customHeight="1">
      <c r="C69" s="274"/>
      <c r="D69" s="114" t="s">
        <v>2111</v>
      </c>
      <c r="Y69" s="2263">
        <f>IF(OR(Application!Z205="State Farmworker Credit",Application!Z205="$500M (Farmworker Housing)"),Y68+AD68,MIN(Y68+AD68,200000*(Application!G753+Application!O777)))</f>
        <v>0</v>
      </c>
      <c r="Z69" s="2263"/>
      <c r="AA69" s="2263"/>
      <c r="AB69" s="2263"/>
      <c r="AC69" s="2263"/>
      <c r="AD69" s="2263"/>
      <c r="AE69" s="2263"/>
      <c r="AF69" s="2263"/>
      <c r="AG69" s="2263"/>
      <c r="AH69" s="2263"/>
    </row>
    <row r="70" spans="1:36" ht="13" customHeight="1">
      <c r="C70" s="274"/>
      <c r="E70" s="274"/>
      <c r="AB70" s="291"/>
      <c r="AC70" s="291"/>
      <c r="AD70" s="291"/>
      <c r="AE70" s="291"/>
      <c r="AF70" s="291"/>
    </row>
    <row r="71" spans="1:36" ht="13" customHeight="1">
      <c r="A71" s="274" t="s">
        <v>1022</v>
      </c>
      <c r="C71" s="114" t="s">
        <v>288</v>
      </c>
    </row>
    <row r="72" spans="1:36" ht="13" customHeight="1">
      <c r="A72" s="274"/>
      <c r="C72" s="274"/>
      <c r="D72" s="114" t="s">
        <v>731</v>
      </c>
      <c r="AB72" s="2306"/>
      <c r="AC72" s="2307"/>
      <c r="AD72" s="2307"/>
      <c r="AE72" s="2307"/>
      <c r="AF72" s="2308"/>
    </row>
    <row r="73" spans="1:36" ht="13" customHeight="1">
      <c r="A73" s="274"/>
      <c r="C73" s="274"/>
      <c r="D73" s="274"/>
      <c r="E73" s="2319" t="s">
        <v>2112</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06"/>
      <c r="AC73" s="306"/>
    </row>
    <row r="74" spans="1:36" ht="13" customHeight="1">
      <c r="A74" s="274"/>
      <c r="C74" s="274"/>
      <c r="D74" s="274"/>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06"/>
      <c r="AC74" s="306"/>
    </row>
    <row r="75" spans="1:36" ht="13" customHeight="1">
      <c r="A75" s="274"/>
      <c r="C75" s="274"/>
      <c r="D75" s="274"/>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06"/>
      <c r="AC75" s="306"/>
    </row>
    <row r="76" spans="1:36" ht="13"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6" ht="13" customHeight="1">
      <c r="C77" s="274"/>
      <c r="D77" s="114" t="s">
        <v>2113</v>
      </c>
      <c r="AB77" s="2312">
        <f>ROUND(IF(ISERROR((AB59/AB72)),0,(AB59/AB72)),0)</f>
        <v>0</v>
      </c>
      <c r="AC77" s="2312"/>
      <c r="AD77" s="2312"/>
      <c r="AE77" s="2312"/>
      <c r="AF77" s="2312"/>
    </row>
    <row r="78" spans="1:36" ht="13" customHeight="1">
      <c r="C78" s="274"/>
      <c r="D78" s="114" t="s">
        <v>2114</v>
      </c>
      <c r="AB78" s="2313">
        <f>ROUNDUP(MIN(Y69,AB77),0)</f>
        <v>0</v>
      </c>
      <c r="AC78" s="2314"/>
      <c r="AD78" s="2314"/>
      <c r="AE78" s="2314"/>
      <c r="AF78" s="2315"/>
    </row>
    <row r="79" spans="1:36" ht="13" customHeight="1">
      <c r="C79" s="274"/>
      <c r="D79" s="114" t="s">
        <v>2115</v>
      </c>
      <c r="AB79" s="2316">
        <f>AB78*AB72</f>
        <v>0</v>
      </c>
      <c r="AC79" s="2316"/>
      <c r="AD79" s="2316"/>
      <c r="AE79" s="2316"/>
      <c r="AF79" s="2316"/>
    </row>
    <row r="80" spans="1:36" ht="13" customHeight="1">
      <c r="C80" s="274"/>
      <c r="D80" s="274"/>
      <c r="AB80" s="294"/>
      <c r="AC80" s="294"/>
      <c r="AD80" s="294"/>
      <c r="AE80" s="294"/>
      <c r="AF80" s="294"/>
    </row>
    <row r="81" spans="1:78" ht="13" customHeight="1">
      <c r="D81" s="274" t="s">
        <v>2103</v>
      </c>
      <c r="AB81" s="2302">
        <f>AB49-(AB57+AB79)</f>
        <v>0</v>
      </c>
      <c r="AC81" s="2302"/>
      <c r="AD81" s="2302"/>
      <c r="AE81" s="2302"/>
      <c r="AF81" s="2302"/>
    </row>
    <row r="82" spans="1:78" ht="13" customHeight="1">
      <c r="F82" s="372"/>
      <c r="J82" s="372" t="str">
        <f>IF(AB81&gt;0,"FUNDING GAP MUST NOT EXCEED ZERO","")</f>
        <v/>
      </c>
    </row>
    <row r="83" spans="1:78" ht="13" customHeight="1">
      <c r="D83" s="373"/>
    </row>
    <row r="84" spans="1:78" ht="13"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3" customHeight="1" thickTop="1"/>
    <row r="86" spans="1:78" ht="13" customHeight="1">
      <c r="A86" s="274"/>
      <c r="C86" s="114"/>
    </row>
    <row r="87" spans="1:78" ht="13" customHeight="1">
      <c r="D87" s="114"/>
      <c r="AB87" s="2268"/>
      <c r="AC87" s="2268"/>
      <c r="AD87" s="2268"/>
      <c r="AE87" s="2268"/>
      <c r="AF87" s="2268"/>
    </row>
    <row r="88" spans="1:78" ht="13" customHeight="1" thickBot="1">
      <c r="D88" s="114"/>
      <c r="AB88" s="2266"/>
      <c r="AC88" s="2266"/>
      <c r="AD88" s="2266"/>
      <c r="AE88" s="2266"/>
      <c r="AF88" s="2266"/>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3" zoomScale="125" workbookViewId="0">
      <selection activeCell="AO1" sqref="AO1:XFD1048576"/>
    </sheetView>
  </sheetViews>
  <sheetFormatPr defaultColWidth="0" defaultRowHeight="12.5" zeroHeight="1"/>
  <cols>
    <col min="1" max="1" width="2.7265625" style="11" customWidth="1"/>
    <col min="2" max="3" width="2.453125" style="11" customWidth="1"/>
    <col min="4" max="4" width="3.1796875" style="11" customWidth="1"/>
    <col min="5" max="5" width="3.453125" style="11" customWidth="1"/>
    <col min="6" max="6" width="2.81640625" style="11" customWidth="1"/>
    <col min="7" max="14" width="2.453125" style="11" customWidth="1"/>
    <col min="15" max="15" width="2.81640625" style="11" customWidth="1"/>
    <col min="16" max="16" width="2.453125" style="11" customWidth="1"/>
    <col min="17" max="17" width="3.81640625" style="11" customWidth="1"/>
    <col min="18" max="18" width="4.453125" style="11" customWidth="1"/>
    <col min="19" max="19" width="3.26953125" style="11" customWidth="1"/>
    <col min="20" max="32" width="2.453125" style="11" customWidth="1"/>
    <col min="33" max="33" width="3.453125" style="11" customWidth="1"/>
    <col min="34" max="36" width="2.453125" style="11" customWidth="1"/>
    <col min="37" max="37" width="5.453125" style="11" customWidth="1"/>
    <col min="38" max="38" width="2.453125" style="11" customWidth="1"/>
    <col min="39" max="39" width="3.453125" style="11" customWidth="1"/>
    <col min="40" max="40" width="5.453125" style="383" customWidth="1"/>
    <col min="41" max="41" width="5.453125" style="23" hidden="1"/>
    <col min="42" max="45" width="5.453125" style="11" hidden="1"/>
    <col min="46" max="46" width="10.81640625" style="11" hidden="1"/>
    <col min="47" max="48" width="5.453125" style="11" hidden="1"/>
    <col min="49" max="49" width="8.7265625" style="11" hidden="1"/>
    <col min="50" max="50" width="7.453125" style="11" hidden="1"/>
    <col min="51" max="55" width="5.453125" style="11" hidden="1"/>
    <col min="56" max="60" width="5.453125" style="25" hidden="1"/>
    <col min="61" max="81" width="5.453125" style="11" hidden="1"/>
    <col min="82" max="16384" width="9.1796875" style="11" hidden="1"/>
  </cols>
  <sheetData>
    <row r="1" spans="1:42" ht="15.75" customHeight="1">
      <c r="A1" s="2550" t="s">
        <v>2116</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2" s="385"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2117</v>
      </c>
      <c r="B4" s="388" t="s">
        <v>2118</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2119</v>
      </c>
      <c r="B7" s="388" t="s">
        <v>2120</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91" t="s">
        <v>2121</v>
      </c>
      <c r="AF7" s="2391"/>
      <c r="AG7" s="2391"/>
      <c r="AH7" s="2391"/>
      <c r="AI7" s="2391"/>
      <c r="AJ7" s="2391"/>
      <c r="AK7" s="2391"/>
      <c r="AL7" s="389"/>
      <c r="AM7" s="389"/>
      <c r="AN7" s="384"/>
    </row>
    <row r="8" spans="1:42" s="385" customFormat="1" ht="12.75" customHeight="1">
      <c r="A8" s="387"/>
      <c r="B8" s="388" t="s">
        <v>2122</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87"/>
      <c r="AF8" s="1187"/>
      <c r="AG8" s="1187"/>
      <c r="AH8" s="1187"/>
      <c r="AI8" s="1187"/>
      <c r="AJ8" s="1187"/>
      <c r="AK8" s="1187"/>
      <c r="AL8" s="389"/>
      <c r="AM8" s="389"/>
      <c r="AN8" s="384"/>
    </row>
    <row r="9" spans="1:42"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87"/>
      <c r="AF9" s="1187"/>
      <c r="AG9" s="1187"/>
      <c r="AH9" s="1187"/>
      <c r="AI9" s="1187"/>
      <c r="AJ9" s="1187"/>
      <c r="AK9" s="1187"/>
      <c r="AL9" s="389"/>
      <c r="AM9" s="389"/>
      <c r="AN9" s="384"/>
    </row>
    <row r="10" spans="1:42" s="385" customFormat="1" ht="12.75" customHeight="1">
      <c r="A10" s="387"/>
      <c r="B10" s="388" t="s">
        <v>2123</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1187"/>
      <c r="AF10" s="1187"/>
      <c r="AG10" s="1187"/>
      <c r="AH10" s="1187"/>
      <c r="AI10" s="1187"/>
      <c r="AJ10" s="1187"/>
      <c r="AK10" s="1187"/>
      <c r="AL10" s="389"/>
      <c r="AM10" s="389"/>
      <c r="AN10" s="384"/>
    </row>
    <row r="11" spans="1:42" s="385" customFormat="1" ht="12.75" customHeight="1">
      <c r="A11" s="389"/>
      <c r="C11" s="924" t="s">
        <v>2124</v>
      </c>
      <c r="D11" s="924"/>
      <c r="E11" s="924"/>
      <c r="F11" s="924"/>
      <c r="G11" s="924"/>
      <c r="H11" s="924"/>
      <c r="I11" s="924"/>
      <c r="J11" s="924"/>
      <c r="K11" s="924"/>
      <c r="L11" s="924"/>
      <c r="M11" s="924"/>
      <c r="N11" s="924"/>
      <c r="O11" s="924"/>
      <c r="P11" s="924"/>
      <c r="Q11" s="924"/>
      <c r="R11" s="924"/>
      <c r="S11" s="924"/>
      <c r="T11" s="924"/>
      <c r="U11" s="924"/>
      <c r="V11" s="924"/>
      <c r="W11" s="924"/>
      <c r="X11" s="924"/>
      <c r="Y11" s="924"/>
      <c r="Z11" s="924"/>
      <c r="AA11" s="924"/>
      <c r="AB11" s="924"/>
      <c r="AC11" s="924"/>
      <c r="AD11" s="924"/>
      <c r="AE11" s="924"/>
      <c r="AF11" s="924"/>
      <c r="AG11" s="924"/>
      <c r="AH11" s="924"/>
      <c r="AI11" s="924"/>
      <c r="AJ11" s="924"/>
      <c r="AK11" s="389"/>
      <c r="AL11" s="389"/>
      <c r="AM11" s="389"/>
      <c r="AN11" s="384"/>
      <c r="AO11" s="1139"/>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2544" t="s">
        <v>798</v>
      </c>
      <c r="C13" s="2544"/>
      <c r="D13" s="395"/>
      <c r="E13" s="396" t="s">
        <v>2125</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2552"/>
      <c r="AH13" s="2552"/>
      <c r="AI13" s="2552"/>
      <c r="AJ13" s="2553"/>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2544" t="s">
        <v>798</v>
      </c>
      <c r="C16" s="2544"/>
      <c r="D16" s="395"/>
      <c r="E16" s="2536" t="s">
        <v>2126</v>
      </c>
      <c r="F16" s="2537"/>
      <c r="G16" s="2537"/>
      <c r="H16" s="2537"/>
      <c r="I16" s="2537"/>
      <c r="J16" s="2537"/>
      <c r="K16" s="2537"/>
      <c r="L16" s="2537"/>
      <c r="M16" s="2537"/>
      <c r="N16" s="2537"/>
      <c r="O16" s="2537"/>
      <c r="P16" s="2537"/>
      <c r="Q16" s="2537"/>
      <c r="R16" s="2537"/>
      <c r="S16" s="2537"/>
      <c r="T16" s="2537"/>
      <c r="U16" s="2537"/>
      <c r="V16" s="2537"/>
      <c r="W16" s="2537"/>
      <c r="X16" s="2537"/>
      <c r="Y16" s="2537"/>
      <c r="Z16" s="2537"/>
      <c r="AA16" s="2537"/>
      <c r="AB16" s="2537"/>
      <c r="AC16" s="2537"/>
      <c r="AD16" s="2537"/>
      <c r="AE16" s="2537"/>
      <c r="AF16" s="2537"/>
      <c r="AG16" s="2537"/>
      <c r="AH16" s="2537"/>
      <c r="AI16" s="2537"/>
      <c r="AJ16" s="2538"/>
      <c r="AK16" s="389"/>
      <c r="AL16" s="389"/>
      <c r="AM16" s="389"/>
      <c r="AN16" s="384"/>
      <c r="AO16" s="398">
        <f>IF($B25="yes",20,0)</f>
        <v>0</v>
      </c>
      <c r="AP16" s="11"/>
    </row>
    <row r="17" spans="1:42" s="385" customFormat="1" ht="12.75" customHeight="1">
      <c r="A17" s="389"/>
      <c r="B17" s="389"/>
      <c r="C17" s="389"/>
      <c r="D17" s="399"/>
      <c r="E17" s="2539"/>
      <c r="F17" s="2540"/>
      <c r="G17" s="2540"/>
      <c r="H17" s="2540"/>
      <c r="I17" s="2540"/>
      <c r="J17" s="2540"/>
      <c r="K17" s="2540"/>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1"/>
      <c r="AK17" s="389"/>
      <c r="AL17" s="389"/>
      <c r="AM17" s="389"/>
      <c r="AN17" s="384"/>
      <c r="AO17" s="398">
        <f>IF($B28="yes",20,0)</f>
        <v>0</v>
      </c>
    </row>
    <row r="18" spans="1:42" s="385" customFormat="1" ht="12.75" customHeight="1">
      <c r="A18" s="389"/>
      <c r="B18" s="389"/>
      <c r="C18" s="389"/>
      <c r="D18" s="399"/>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389"/>
      <c r="AL18" s="389"/>
      <c r="AM18" s="389"/>
      <c r="AN18" s="384"/>
      <c r="AO18" s="385">
        <f>IF(SUM(AO13:AO17)&gt;20,20,(SUM(AO13:AO17)))</f>
        <v>0</v>
      </c>
      <c r="AP18" s="385" t="s">
        <v>2127</v>
      </c>
    </row>
    <row r="19" spans="1:42" s="385" customFormat="1" ht="12.75" customHeight="1">
      <c r="A19" s="389"/>
      <c r="B19" s="389"/>
      <c r="C19" s="389"/>
      <c r="D19" s="399"/>
      <c r="E19" s="400" t="s">
        <v>2128</v>
      </c>
      <c r="F19" s="1189"/>
      <c r="G19" s="1189"/>
      <c r="H19" s="1189"/>
      <c r="I19" s="1189"/>
      <c r="J19" s="1189"/>
      <c r="K19" s="1189"/>
      <c r="L19" s="1189"/>
      <c r="M19" s="1189"/>
      <c r="N19" s="1189"/>
      <c r="O19" s="1189"/>
      <c r="P19" s="1189"/>
      <c r="Q19" s="1189"/>
      <c r="R19" s="1189"/>
      <c r="S19" s="1189"/>
      <c r="T19" s="1189"/>
      <c r="U19" s="1189"/>
      <c r="V19" s="1189"/>
      <c r="W19" s="1189"/>
      <c r="X19" s="1189"/>
      <c r="Y19" s="1189"/>
      <c r="Z19" s="1189"/>
      <c r="AA19" s="1189"/>
      <c r="AB19" s="1189"/>
      <c r="AC19" s="1189"/>
      <c r="AD19" s="1189"/>
      <c r="AE19" s="1189"/>
      <c r="AF19" s="1189"/>
      <c r="AG19" s="1189"/>
      <c r="AH19" s="1189"/>
      <c r="AI19" s="1189"/>
      <c r="AJ19" s="1190"/>
      <c r="AK19" s="389"/>
      <c r="AL19" s="389"/>
      <c r="AM19" s="389"/>
      <c r="AN19" s="384"/>
    </row>
    <row r="20" spans="1:42" s="385" customFormat="1" ht="12.75" customHeight="1">
      <c r="A20" s="389"/>
      <c r="B20" s="389"/>
      <c r="C20" s="389"/>
      <c r="D20" s="399"/>
      <c r="E20" s="2560"/>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2"/>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2544" t="s">
        <v>798</v>
      </c>
      <c r="C22" s="2544"/>
      <c r="D22" s="395"/>
      <c r="E22" s="2554" t="s">
        <v>2129</v>
      </c>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6"/>
      <c r="AK22" s="389"/>
      <c r="AL22" s="389"/>
      <c r="AM22" s="389"/>
      <c r="AN22" s="384"/>
      <c r="AO22" s="398">
        <f>IF($B40="yes",14,0)</f>
        <v>0</v>
      </c>
    </row>
    <row r="23" spans="1:42" s="385" customFormat="1" ht="12.75" customHeight="1">
      <c r="A23" s="389"/>
      <c r="B23" s="389"/>
      <c r="C23" s="389"/>
      <c r="D23" s="398"/>
      <c r="E23" s="2557"/>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9"/>
      <c r="AK23" s="389"/>
      <c r="AL23" s="389"/>
      <c r="AM23" s="389"/>
      <c r="AN23" s="384"/>
      <c r="AO23" s="385">
        <f>IF(SUM(AO20:AO22)&gt;14,14,SUM(AO20:AO22))</f>
        <v>0</v>
      </c>
      <c r="AP23" s="385" t="s">
        <v>2127</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2544" t="s">
        <v>798</v>
      </c>
      <c r="C25" s="2544"/>
      <c r="D25" s="395"/>
      <c r="E25" s="2471" t="s">
        <v>2130</v>
      </c>
      <c r="F25" s="2472"/>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3"/>
      <c r="AK25" s="389"/>
      <c r="AL25" s="389"/>
      <c r="AM25" s="389"/>
      <c r="AN25" s="384"/>
      <c r="AO25" s="398">
        <f>IF($B45="yes",6,0)</f>
        <v>0</v>
      </c>
    </row>
    <row r="26" spans="1:42" s="385" customFormat="1" ht="12.75" customHeight="1">
      <c r="A26" s="389"/>
      <c r="B26" s="389"/>
      <c r="C26" s="389"/>
      <c r="D26" s="398"/>
      <c r="E26" s="2496"/>
      <c r="F26" s="2497"/>
      <c r="G26" s="2497"/>
      <c r="H26" s="2497"/>
      <c r="I26" s="2497"/>
      <c r="J26" s="2497"/>
      <c r="K26" s="2497"/>
      <c r="L26" s="2497"/>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8"/>
      <c r="AK26" s="389"/>
      <c r="AL26" s="389"/>
      <c r="AM26" s="389"/>
      <c r="AN26" s="384"/>
      <c r="AO26" s="385">
        <f>IF(AO25&gt;6,6,AO25)</f>
        <v>0</v>
      </c>
      <c r="AP26" s="385" t="s">
        <v>2127</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2544" t="s">
        <v>798</v>
      </c>
      <c r="C28" s="2544"/>
      <c r="D28" s="395"/>
      <c r="E28" s="2573" t="s">
        <v>2131</v>
      </c>
      <c r="F28" s="2574"/>
      <c r="G28" s="2574"/>
      <c r="H28" s="2574"/>
      <c r="I28" s="2574"/>
      <c r="J28" s="2574"/>
      <c r="K28" s="2574"/>
      <c r="L28" s="2574"/>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5"/>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2132</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2127</v>
      </c>
    </row>
    <row r="33" spans="1:41" s="385" customFormat="1" ht="12.75" customHeight="1">
      <c r="A33" s="389"/>
      <c r="B33" s="2544" t="s">
        <v>798</v>
      </c>
      <c r="C33" s="2544"/>
      <c r="D33" s="395"/>
      <c r="E33" s="2554" t="s">
        <v>2133</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389"/>
      <c r="AL33" s="389"/>
      <c r="AM33" s="389"/>
      <c r="AN33" s="384"/>
      <c r="AO33" s="398"/>
    </row>
    <row r="34" spans="1:41" s="385" customFormat="1" ht="12.75" customHeight="1">
      <c r="A34" s="389"/>
      <c r="B34" s="389"/>
      <c r="C34" s="389"/>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389"/>
      <c r="AL34" s="389"/>
      <c r="AM34" s="389"/>
      <c r="AN34" s="384"/>
    </row>
    <row r="35" spans="1:41" s="385" customFormat="1" ht="12.75" customHeight="1">
      <c r="A35" s="389"/>
      <c r="B35" s="389"/>
      <c r="C35" s="389"/>
      <c r="F35" s="1191"/>
      <c r="G35" s="1191"/>
      <c r="H35" s="1191"/>
      <c r="I35" s="1191"/>
      <c r="J35" s="1191"/>
      <c r="K35" s="1191"/>
      <c r="L35" s="1191"/>
      <c r="M35" s="1191"/>
      <c r="N35" s="1191"/>
      <c r="O35" s="1191"/>
      <c r="P35" s="1191"/>
      <c r="Q35" s="1191"/>
      <c r="R35" s="1191"/>
      <c r="S35" s="1191"/>
      <c r="T35" s="1191"/>
      <c r="U35" s="1191"/>
      <c r="V35" s="1191"/>
      <c r="W35" s="1191"/>
      <c r="X35" s="1191"/>
      <c r="Y35" s="1191"/>
      <c r="Z35" s="1191"/>
      <c r="AA35" s="1191"/>
      <c r="AB35" s="1191"/>
      <c r="AC35" s="1191"/>
      <c r="AD35" s="1191"/>
      <c r="AE35" s="1191"/>
      <c r="AF35" s="1191"/>
      <c r="AG35" s="1191"/>
      <c r="AH35" s="1191"/>
      <c r="AI35" s="1191"/>
      <c r="AJ35" s="1191"/>
      <c r="AK35" s="389"/>
      <c r="AL35" s="389"/>
      <c r="AM35" s="389"/>
      <c r="AN35" s="384"/>
    </row>
    <row r="36" spans="1:41" s="385" customFormat="1" ht="12.75" customHeight="1">
      <c r="A36" s="389"/>
      <c r="B36" s="2544" t="s">
        <v>798</v>
      </c>
      <c r="C36" s="2544"/>
      <c r="D36" s="395"/>
      <c r="E36" s="2471" t="s">
        <v>2134</v>
      </c>
      <c r="F36" s="2472"/>
      <c r="G36" s="2472"/>
      <c r="H36" s="2472"/>
      <c r="I36" s="2472"/>
      <c r="J36" s="2472"/>
      <c r="K36" s="2472"/>
      <c r="L36" s="2472"/>
      <c r="M36" s="2472"/>
      <c r="N36" s="2472"/>
      <c r="O36" s="2472"/>
      <c r="P36" s="2472"/>
      <c r="Q36" s="2472"/>
      <c r="R36" s="2472"/>
      <c r="S36" s="2472"/>
      <c r="T36" s="2472"/>
      <c r="U36" s="2472"/>
      <c r="V36" s="2472"/>
      <c r="W36" s="2472"/>
      <c r="X36" s="2472"/>
      <c r="Y36" s="2472"/>
      <c r="Z36" s="2472"/>
      <c r="AA36" s="2472"/>
      <c r="AB36" s="2472"/>
      <c r="AC36" s="2472"/>
      <c r="AD36" s="2472"/>
      <c r="AE36" s="2472"/>
      <c r="AF36" s="2472"/>
      <c r="AG36" s="2472"/>
      <c r="AH36" s="2472"/>
      <c r="AI36" s="2472"/>
      <c r="AJ36" s="2473"/>
      <c r="AK36" s="389"/>
      <c r="AL36" s="389"/>
      <c r="AM36" s="389"/>
      <c r="AN36" s="384"/>
    </row>
    <row r="37" spans="1:41" s="385" customFormat="1" ht="12.75" customHeight="1">
      <c r="A37" s="389"/>
      <c r="B37" s="389"/>
      <c r="C37" s="389"/>
      <c r="E37" s="2474"/>
      <c r="F37" s="2475"/>
      <c r="G37" s="2475"/>
      <c r="H37" s="2475"/>
      <c r="I37" s="2475"/>
      <c r="J37" s="2475"/>
      <c r="K37" s="2475"/>
      <c r="L37" s="2475"/>
      <c r="M37" s="2475"/>
      <c r="N37" s="2475"/>
      <c r="O37" s="2475"/>
      <c r="P37" s="2475"/>
      <c r="Q37" s="2475"/>
      <c r="R37" s="2475"/>
      <c r="S37" s="2475"/>
      <c r="T37" s="2475"/>
      <c r="U37" s="2475"/>
      <c r="V37" s="2475"/>
      <c r="W37" s="2475"/>
      <c r="X37" s="2475"/>
      <c r="Y37" s="2475"/>
      <c r="Z37" s="2475"/>
      <c r="AA37" s="2475"/>
      <c r="AB37" s="2475"/>
      <c r="AC37" s="2475"/>
      <c r="AD37" s="2475"/>
      <c r="AE37" s="2475"/>
      <c r="AF37" s="2475"/>
      <c r="AG37" s="2475"/>
      <c r="AH37" s="2475"/>
      <c r="AI37" s="2475"/>
      <c r="AJ37" s="2476"/>
      <c r="AK37" s="389"/>
      <c r="AL37" s="389"/>
      <c r="AM37" s="389"/>
      <c r="AN37" s="384"/>
    </row>
    <row r="38" spans="1:41" s="385" customFormat="1" ht="12.75" customHeight="1">
      <c r="A38" s="389"/>
      <c r="B38" s="389"/>
      <c r="C38" s="389"/>
      <c r="E38" s="2496"/>
      <c r="F38" s="2497"/>
      <c r="G38" s="2497"/>
      <c r="H38" s="2497"/>
      <c r="I38" s="2497"/>
      <c r="J38" s="2497"/>
      <c r="K38" s="2497"/>
      <c r="L38" s="2497"/>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8"/>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0</v>
      </c>
    </row>
    <row r="40" spans="1:41" s="385" customFormat="1" ht="12.75" customHeight="1">
      <c r="A40" s="389"/>
      <c r="B40" s="2544" t="s">
        <v>798</v>
      </c>
      <c r="C40" s="2544"/>
      <c r="D40" s="395"/>
      <c r="E40" s="2471" t="s">
        <v>2135</v>
      </c>
      <c r="F40" s="2472"/>
      <c r="G40" s="2472"/>
      <c r="H40" s="2472"/>
      <c r="I40" s="2472"/>
      <c r="J40" s="2472"/>
      <c r="K40" s="2472"/>
      <c r="L40" s="2472"/>
      <c r="M40" s="2472"/>
      <c r="N40" s="2472"/>
      <c r="O40" s="2472"/>
      <c r="P40" s="2472"/>
      <c r="Q40" s="2472"/>
      <c r="R40" s="2472"/>
      <c r="S40" s="2472"/>
      <c r="T40" s="2472"/>
      <c r="U40" s="2472"/>
      <c r="V40" s="2472"/>
      <c r="W40" s="2472"/>
      <c r="X40" s="2472"/>
      <c r="Y40" s="2472"/>
      <c r="Z40" s="2472"/>
      <c r="AA40" s="2472"/>
      <c r="AB40" s="2472"/>
      <c r="AC40" s="2472"/>
      <c r="AD40" s="2472"/>
      <c r="AE40" s="2472"/>
      <c r="AF40" s="2472"/>
      <c r="AG40" s="2472"/>
      <c r="AH40" s="2472"/>
      <c r="AI40" s="2472"/>
      <c r="AJ40" s="2473"/>
      <c r="AK40" s="389"/>
      <c r="AL40" s="389"/>
      <c r="AM40" s="389"/>
      <c r="AN40" s="384"/>
    </row>
    <row r="41" spans="1:41" s="385" customFormat="1" ht="12.75" customHeight="1">
      <c r="A41" s="389"/>
      <c r="B41" s="389"/>
      <c r="C41" s="389"/>
      <c r="E41" s="2496"/>
      <c r="F41" s="2497"/>
      <c r="G41" s="2497"/>
      <c r="H41" s="2497"/>
      <c r="I41" s="2497"/>
      <c r="J41" s="2497"/>
      <c r="K41" s="2497"/>
      <c r="L41" s="2497"/>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8"/>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0</v>
      </c>
    </row>
    <row r="43" spans="1:41" s="385" customFormat="1" ht="12.75" customHeight="1">
      <c r="A43" s="389"/>
      <c r="C43" s="392" t="s">
        <v>2136</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5"/>
      <c r="D44" s="925"/>
      <c r="E44" s="925"/>
      <c r="F44" s="925"/>
      <c r="G44" s="92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389"/>
      <c r="AM44" s="389"/>
      <c r="AN44" s="384"/>
    </row>
    <row r="45" spans="1:41" s="385" customFormat="1" ht="12.75" customHeight="1">
      <c r="A45" s="389"/>
      <c r="B45" s="2544" t="s">
        <v>798</v>
      </c>
      <c r="C45" s="2544"/>
      <c r="D45" s="925"/>
      <c r="E45" s="2471" t="s">
        <v>2137</v>
      </c>
      <c r="F45" s="2472"/>
      <c r="G45" s="2472"/>
      <c r="H45" s="2472"/>
      <c r="I45" s="2472"/>
      <c r="J45" s="2472"/>
      <c r="K45" s="2472"/>
      <c r="L45" s="2472"/>
      <c r="M45" s="2472"/>
      <c r="N45" s="2472"/>
      <c r="O45" s="2472"/>
      <c r="P45" s="2472"/>
      <c r="Q45" s="2472"/>
      <c r="R45" s="2472"/>
      <c r="S45" s="2472"/>
      <c r="T45" s="2472"/>
      <c r="U45" s="2472"/>
      <c r="V45" s="2472"/>
      <c r="W45" s="2472"/>
      <c r="X45" s="2472"/>
      <c r="Y45" s="2472"/>
      <c r="Z45" s="2472"/>
      <c r="AA45" s="2472"/>
      <c r="AB45" s="2472"/>
      <c r="AC45" s="2472"/>
      <c r="AD45" s="2472"/>
      <c r="AE45" s="2472"/>
      <c r="AF45" s="2472"/>
      <c r="AG45" s="2472"/>
      <c r="AH45" s="2472"/>
      <c r="AI45" s="2472"/>
      <c r="AJ45" s="2473"/>
      <c r="AK45" s="925"/>
      <c r="AL45" s="389"/>
      <c r="AM45" s="389"/>
      <c r="AN45" s="384"/>
    </row>
    <row r="46" spans="1:41" s="385" customFormat="1" ht="12.75" customHeight="1">
      <c r="A46" s="389"/>
      <c r="B46" s="389"/>
      <c r="C46" s="389"/>
      <c r="E46" s="2474"/>
      <c r="F46" s="2475"/>
      <c r="G46" s="2475"/>
      <c r="H46" s="2475"/>
      <c r="I46" s="2475"/>
      <c r="J46" s="2475"/>
      <c r="K46" s="2475"/>
      <c r="L46" s="2475"/>
      <c r="M46" s="2475"/>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6"/>
      <c r="AK46" s="389"/>
      <c r="AL46" s="389"/>
      <c r="AM46" s="389"/>
      <c r="AN46" s="384"/>
    </row>
    <row r="47" spans="1:41" s="385" customFormat="1" ht="12.75" customHeight="1">
      <c r="A47" s="389"/>
      <c r="D47" s="395"/>
      <c r="E47" s="2496"/>
      <c r="F47" s="2497"/>
      <c r="G47" s="2497"/>
      <c r="H47" s="2497"/>
      <c r="I47" s="2497"/>
      <c r="J47" s="2497"/>
      <c r="K47" s="2497"/>
      <c r="L47" s="2497"/>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8"/>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388"/>
      <c r="B49" s="388" t="s">
        <v>2138</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4" t="s">
        <v>2139</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2544" t="s">
        <v>798</v>
      </c>
      <c r="C52" s="2544"/>
      <c r="D52" s="389"/>
      <c r="E52" s="2471" t="s">
        <v>2140</v>
      </c>
      <c r="F52" s="2472"/>
      <c r="G52" s="2472"/>
      <c r="H52" s="2472"/>
      <c r="I52" s="2472"/>
      <c r="J52" s="2472"/>
      <c r="K52" s="2472"/>
      <c r="L52" s="2472"/>
      <c r="M52" s="2472"/>
      <c r="N52" s="2472"/>
      <c r="O52" s="2472"/>
      <c r="P52" s="2472"/>
      <c r="Q52" s="2472"/>
      <c r="R52" s="2472"/>
      <c r="S52" s="2472"/>
      <c r="T52" s="2472"/>
      <c r="U52" s="2472"/>
      <c r="V52" s="2472"/>
      <c r="W52" s="2472"/>
      <c r="X52" s="2472"/>
      <c r="Y52" s="2472"/>
      <c r="Z52" s="2472"/>
      <c r="AA52" s="2472"/>
      <c r="AB52" s="2472"/>
      <c r="AC52" s="2472"/>
      <c r="AD52" s="2472"/>
      <c r="AE52" s="2472"/>
      <c r="AF52" s="2472"/>
      <c r="AG52" s="2472"/>
      <c r="AH52" s="2472"/>
      <c r="AI52" s="2472"/>
      <c r="AJ52" s="2473"/>
      <c r="AK52" s="389"/>
      <c r="AL52" s="389"/>
      <c r="AM52" s="389"/>
      <c r="AN52" s="384"/>
      <c r="AO52" s="405"/>
    </row>
    <row r="53" spans="1:50" s="385" customFormat="1" ht="12.75" customHeight="1">
      <c r="A53" s="389"/>
      <c r="D53" s="395"/>
      <c r="E53" s="2474"/>
      <c r="F53" s="2475"/>
      <c r="G53" s="2475"/>
      <c r="H53" s="2475"/>
      <c r="I53" s="2475"/>
      <c r="J53" s="2475"/>
      <c r="K53" s="2475"/>
      <c r="L53" s="2475"/>
      <c r="M53" s="2475"/>
      <c r="N53" s="2475"/>
      <c r="O53" s="2475"/>
      <c r="P53" s="2475"/>
      <c r="Q53" s="2475"/>
      <c r="R53" s="2475"/>
      <c r="S53" s="2475"/>
      <c r="T53" s="2475"/>
      <c r="U53" s="2475"/>
      <c r="V53" s="2475"/>
      <c r="W53" s="2475"/>
      <c r="X53" s="2475"/>
      <c r="Y53" s="2475"/>
      <c r="Z53" s="2475"/>
      <c r="AA53" s="2475"/>
      <c r="AB53" s="2475"/>
      <c r="AC53" s="2475"/>
      <c r="AD53" s="2475"/>
      <c r="AE53" s="2475"/>
      <c r="AF53" s="2475"/>
      <c r="AG53" s="2475"/>
      <c r="AH53" s="2475"/>
      <c r="AI53" s="2475"/>
      <c r="AJ53" s="2476"/>
      <c r="AK53" s="389"/>
      <c r="AL53" s="389"/>
      <c r="AM53" s="389"/>
      <c r="AN53" s="384"/>
      <c r="AO53" s="405"/>
    </row>
    <row r="54" spans="1:50" s="385" customFormat="1" ht="12.75" customHeight="1">
      <c r="A54" s="389"/>
      <c r="D54" s="389"/>
      <c r="E54" s="2496"/>
      <c r="F54" s="2497"/>
      <c r="G54" s="2497"/>
      <c r="H54" s="2497"/>
      <c r="I54" s="2497"/>
      <c r="J54" s="2497"/>
      <c r="K54" s="2497"/>
      <c r="L54" s="2497"/>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8"/>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2544" t="s">
        <v>798</v>
      </c>
      <c r="C56" s="2544"/>
      <c r="D56" s="389"/>
      <c r="E56" s="2570" t="s">
        <v>2141</v>
      </c>
      <c r="F56" s="2571"/>
      <c r="G56" s="2571"/>
      <c r="H56" s="2571"/>
      <c r="I56" s="2571"/>
      <c r="J56" s="2571"/>
      <c r="K56" s="2571"/>
      <c r="L56" s="2571"/>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2"/>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2544" t="s">
        <v>798</v>
      </c>
      <c r="C58" s="2544"/>
      <c r="D58" s="389"/>
      <c r="E58" s="2471" t="s">
        <v>2142</v>
      </c>
      <c r="F58" s="2472"/>
      <c r="G58" s="2472"/>
      <c r="H58" s="2472"/>
      <c r="I58" s="2472"/>
      <c r="J58" s="2472"/>
      <c r="K58" s="2472"/>
      <c r="L58" s="2472"/>
      <c r="M58" s="2472"/>
      <c r="N58" s="2472"/>
      <c r="O58" s="2472"/>
      <c r="P58" s="2472"/>
      <c r="Q58" s="2472"/>
      <c r="R58" s="2472"/>
      <c r="S58" s="2472"/>
      <c r="T58" s="2472"/>
      <c r="U58" s="2472"/>
      <c r="V58" s="2472"/>
      <c r="W58" s="2472"/>
      <c r="X58" s="2472"/>
      <c r="Y58" s="2472"/>
      <c r="Z58" s="2472"/>
      <c r="AA58" s="2472"/>
      <c r="AB58" s="2472"/>
      <c r="AC58" s="2472"/>
      <c r="AD58" s="2472"/>
      <c r="AE58" s="2472"/>
      <c r="AF58" s="2472"/>
      <c r="AG58" s="2472"/>
      <c r="AH58" s="2472"/>
      <c r="AI58" s="2472"/>
      <c r="AJ58" s="2473"/>
      <c r="AK58" s="389"/>
      <c r="AL58" s="389"/>
      <c r="AM58" s="389"/>
      <c r="AN58" s="384"/>
    </row>
    <row r="59" spans="1:50" s="385" customFormat="1" ht="12.75" customHeight="1">
      <c r="A59" s="389"/>
      <c r="B59" s="395"/>
      <c r="C59" s="395"/>
      <c r="D59" s="395"/>
      <c r="E59" s="2496"/>
      <c r="F59" s="2497"/>
      <c r="G59" s="2497"/>
      <c r="H59" s="2497"/>
      <c r="I59" s="2497"/>
      <c r="J59" s="2497"/>
      <c r="K59" s="2497"/>
      <c r="L59" s="2497"/>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8"/>
      <c r="AK59" s="389"/>
      <c r="AL59" s="389"/>
      <c r="AM59" s="389"/>
      <c r="AN59" s="384"/>
      <c r="AX59" s="388"/>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388"/>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2143</v>
      </c>
      <c r="AK62" s="2517">
        <f>AO39</f>
        <v>0</v>
      </c>
      <c r="AL62" s="2518"/>
      <c r="AM62" s="2519"/>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207"/>
      <c r="J64" s="1207"/>
      <c r="K64" s="1207"/>
      <c r="L64" s="1207"/>
      <c r="M64" s="1207"/>
      <c r="N64" s="1207"/>
      <c r="O64" s="1207"/>
      <c r="P64" s="1207"/>
      <c r="Q64" s="1207"/>
      <c r="R64" s="416"/>
      <c r="S64" s="388"/>
      <c r="T64" s="388"/>
      <c r="U64" s="388"/>
      <c r="V64" s="388"/>
      <c r="W64" s="388"/>
      <c r="X64" s="388"/>
      <c r="Y64" s="388"/>
      <c r="Z64" s="388"/>
      <c r="AA64" s="388"/>
      <c r="AB64" s="388"/>
      <c r="AC64" s="388"/>
      <c r="AD64" s="388"/>
      <c r="AE64" s="388"/>
      <c r="AF64" s="416"/>
      <c r="AG64" s="388"/>
      <c r="AH64" s="388"/>
      <c r="AI64" s="388"/>
      <c r="AJ64" s="388"/>
      <c r="AK64" s="398"/>
      <c r="AL64" s="398"/>
      <c r="AM64" s="398"/>
      <c r="AN64" s="384"/>
    </row>
    <row r="65" spans="1:42" s="385" customFormat="1" ht="12.75" customHeight="1">
      <c r="A65" s="387" t="s">
        <v>2144</v>
      </c>
      <c r="B65" s="388" t="s">
        <v>619</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2391" t="s">
        <v>2145</v>
      </c>
      <c r="AF65" s="2391"/>
      <c r="AG65" s="2391"/>
      <c r="AH65" s="2391"/>
      <c r="AI65" s="2391"/>
      <c r="AJ65" s="2391"/>
      <c r="AK65" s="2391"/>
      <c r="AL65" s="389"/>
      <c r="AM65" s="389"/>
      <c r="AN65" s="384"/>
    </row>
    <row r="66" spans="1:42" s="385" customFormat="1" ht="12.75" customHeight="1">
      <c r="A66" s="387"/>
      <c r="B66" s="388" t="s">
        <v>2146</v>
      </c>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87"/>
      <c r="AF66" s="1187"/>
      <c r="AG66" s="1187"/>
      <c r="AH66" s="1187"/>
      <c r="AI66" s="1187"/>
      <c r="AJ66" s="1187"/>
      <c r="AK66" s="1187"/>
      <c r="AL66" s="389"/>
      <c r="AM66" s="389"/>
      <c r="AN66" s="384"/>
    </row>
    <row r="67" spans="1:42" s="385" customFormat="1" ht="12.75" customHeight="1">
      <c r="A67" s="387"/>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1187"/>
      <c r="AF67" s="1187"/>
      <c r="AG67" s="1187"/>
      <c r="AH67" s="1187"/>
      <c r="AI67" s="1187"/>
      <c r="AJ67" s="1187"/>
      <c r="AK67" s="1187"/>
      <c r="AL67" s="389"/>
      <c r="AM67" s="389"/>
      <c r="AN67" s="384"/>
    </row>
    <row r="68" spans="1:42" s="385" customFormat="1" ht="12.75" customHeight="1">
      <c r="A68" s="387"/>
      <c r="B68" s="2544" t="s">
        <v>847</v>
      </c>
      <c r="C68" s="2544"/>
      <c r="D68" s="395" t="s">
        <v>2147</v>
      </c>
      <c r="E68" s="2536" t="s">
        <v>2148</v>
      </c>
      <c r="F68" s="2537"/>
      <c r="G68" s="2537"/>
      <c r="H68" s="2537"/>
      <c r="I68" s="2537"/>
      <c r="J68" s="2537"/>
      <c r="K68" s="2537"/>
      <c r="L68" s="2537"/>
      <c r="M68" s="2537"/>
      <c r="N68" s="2537"/>
      <c r="O68" s="2537"/>
      <c r="P68" s="2537"/>
      <c r="Q68" s="2537"/>
      <c r="R68" s="2537"/>
      <c r="S68" s="2537"/>
      <c r="T68" s="2537"/>
      <c r="U68" s="2537"/>
      <c r="V68" s="2537"/>
      <c r="W68" s="2537"/>
      <c r="X68" s="2537"/>
      <c r="Y68" s="2537"/>
      <c r="Z68" s="2537"/>
      <c r="AA68" s="2537"/>
      <c r="AB68" s="2537"/>
      <c r="AC68" s="2537"/>
      <c r="AD68" s="2537"/>
      <c r="AE68" s="2537"/>
      <c r="AF68" s="2537"/>
      <c r="AG68" s="2537"/>
      <c r="AH68" s="2537"/>
      <c r="AI68" s="2537"/>
      <c r="AJ68" s="2538"/>
      <c r="AK68" s="1187"/>
      <c r="AL68" s="389"/>
      <c r="AM68" s="389"/>
      <c r="AN68" s="384"/>
      <c r="AO68" s="398">
        <f>IF($B68="yes",10,0)</f>
        <v>10</v>
      </c>
    </row>
    <row r="69" spans="1:42" s="385" customFormat="1" ht="12.75" customHeight="1">
      <c r="A69" s="387"/>
      <c r="B69" s="389"/>
      <c r="C69" s="389"/>
      <c r="D69" s="399"/>
      <c r="E69" s="2539"/>
      <c r="F69" s="2540"/>
      <c r="G69" s="2540"/>
      <c r="H69" s="2540"/>
      <c r="I69" s="2540"/>
      <c r="J69" s="2540"/>
      <c r="K69" s="2540"/>
      <c r="L69" s="2540"/>
      <c r="M69" s="2540"/>
      <c r="N69" s="2540"/>
      <c r="O69" s="2540"/>
      <c r="P69" s="2540"/>
      <c r="Q69" s="2540"/>
      <c r="R69" s="2540"/>
      <c r="S69" s="2540"/>
      <c r="T69" s="2540"/>
      <c r="U69" s="2540"/>
      <c r="V69" s="2540"/>
      <c r="W69" s="2540"/>
      <c r="X69" s="2540"/>
      <c r="Y69" s="2540"/>
      <c r="Z69" s="2540"/>
      <c r="AA69" s="2540"/>
      <c r="AB69" s="2540"/>
      <c r="AC69" s="2540"/>
      <c r="AD69" s="2540"/>
      <c r="AE69" s="2540"/>
      <c r="AF69" s="2540"/>
      <c r="AG69" s="2540"/>
      <c r="AH69" s="2540"/>
      <c r="AI69" s="2540"/>
      <c r="AJ69" s="2541"/>
      <c r="AK69" s="1187"/>
      <c r="AL69" s="389"/>
      <c r="AM69" s="389"/>
      <c r="AN69" s="384"/>
      <c r="AO69" s="398">
        <f>IF($B74="yes",10,0)</f>
        <v>0</v>
      </c>
    </row>
    <row r="70" spans="1:42" s="385" customFormat="1" ht="12.75" customHeight="1">
      <c r="A70" s="387"/>
      <c r="B70" s="389"/>
      <c r="C70" s="389"/>
      <c r="D70" s="399"/>
      <c r="E70" s="2539"/>
      <c r="F70" s="2540"/>
      <c r="G70" s="2540"/>
      <c r="H70" s="2540"/>
      <c r="I70" s="2540"/>
      <c r="J70" s="2540"/>
      <c r="K70" s="2540"/>
      <c r="L70" s="2540"/>
      <c r="M70" s="2540"/>
      <c r="N70" s="2540"/>
      <c r="O70" s="2540"/>
      <c r="P70" s="2540"/>
      <c r="Q70" s="2540"/>
      <c r="R70" s="2540"/>
      <c r="S70" s="2540"/>
      <c r="T70" s="2540"/>
      <c r="U70" s="2540"/>
      <c r="V70" s="2540"/>
      <c r="W70" s="2540"/>
      <c r="X70" s="2540"/>
      <c r="Y70" s="2540"/>
      <c r="Z70" s="2540"/>
      <c r="AA70" s="2540"/>
      <c r="AB70" s="2540"/>
      <c r="AC70" s="2540"/>
      <c r="AD70" s="2540"/>
      <c r="AE70" s="2540"/>
      <c r="AF70" s="2540"/>
      <c r="AG70" s="2540"/>
      <c r="AH70" s="2540"/>
      <c r="AI70" s="2540"/>
      <c r="AJ70" s="2541"/>
      <c r="AK70" s="1187"/>
      <c r="AL70" s="389"/>
      <c r="AM70" s="389"/>
      <c r="AN70" s="384"/>
      <c r="AO70" s="398">
        <f>IF($B81="yes",10,0)</f>
        <v>0</v>
      </c>
    </row>
    <row r="71" spans="1:42" s="385" customFormat="1" ht="12.75" customHeight="1">
      <c r="A71" s="387"/>
      <c r="B71" s="389"/>
      <c r="C71" s="389"/>
      <c r="D71" s="399"/>
      <c r="E71" s="2539"/>
      <c r="F71" s="2540"/>
      <c r="G71" s="2540"/>
      <c r="H71" s="2540"/>
      <c r="I71" s="2540"/>
      <c r="J71" s="2540"/>
      <c r="K71" s="2540"/>
      <c r="L71" s="2540"/>
      <c r="M71" s="2540"/>
      <c r="N71" s="2540"/>
      <c r="O71" s="2540"/>
      <c r="P71" s="2540"/>
      <c r="Q71" s="2540"/>
      <c r="R71" s="2540"/>
      <c r="S71" s="2540"/>
      <c r="T71" s="2540"/>
      <c r="U71" s="2540"/>
      <c r="V71" s="2540"/>
      <c r="W71" s="2540"/>
      <c r="X71" s="2540"/>
      <c r="Y71" s="2540"/>
      <c r="Z71" s="2540"/>
      <c r="AA71" s="2540"/>
      <c r="AB71" s="2540"/>
      <c r="AC71" s="2540"/>
      <c r="AD71" s="2540"/>
      <c r="AE71" s="2540"/>
      <c r="AF71" s="2540"/>
      <c r="AG71" s="2540"/>
      <c r="AH71" s="2540"/>
      <c r="AI71" s="2540"/>
      <c r="AJ71" s="2541"/>
      <c r="AK71" s="1187"/>
      <c r="AL71" s="389"/>
      <c r="AM71" s="389"/>
      <c r="AN71" s="384"/>
      <c r="AO71" s="385">
        <f>IF(SUM(AO68:AO70)&gt;10,10,(SUM(AO68:AO70)))</f>
        <v>10</v>
      </c>
      <c r="AP71" s="419" t="s">
        <v>2149</v>
      </c>
    </row>
    <row r="72" spans="1:42" s="385" customFormat="1" ht="12.75" customHeight="1">
      <c r="A72" s="387"/>
      <c r="B72" s="389"/>
      <c r="C72" s="389"/>
      <c r="D72" s="399"/>
      <c r="E72" s="2566"/>
      <c r="F72" s="2567"/>
      <c r="G72" s="2567"/>
      <c r="H72" s="2567"/>
      <c r="I72" s="2567"/>
      <c r="J72" s="2567"/>
      <c r="K72" s="2567"/>
      <c r="L72" s="2567"/>
      <c r="M72" s="2567"/>
      <c r="N72" s="2567"/>
      <c r="O72" s="2567"/>
      <c r="P72" s="2567"/>
      <c r="Q72" s="2567"/>
      <c r="R72" s="2567"/>
      <c r="S72" s="2567"/>
      <c r="T72" s="2567"/>
      <c r="U72" s="2567"/>
      <c r="V72" s="2567"/>
      <c r="W72" s="2567"/>
      <c r="X72" s="2567"/>
      <c r="Y72" s="2567"/>
      <c r="Z72" s="2567"/>
      <c r="AA72" s="2567"/>
      <c r="AB72" s="2567"/>
      <c r="AC72" s="2567"/>
      <c r="AD72" s="2567"/>
      <c r="AE72" s="2567"/>
      <c r="AF72" s="2567"/>
      <c r="AG72" s="2567"/>
      <c r="AH72" s="2567"/>
      <c r="AI72" s="2567"/>
      <c r="AJ72" s="2568"/>
      <c r="AK72" s="1187"/>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187"/>
      <c r="AL73" s="389"/>
      <c r="AM73" s="389"/>
      <c r="AN73" s="384"/>
    </row>
    <row r="74" spans="1:42" s="385" customFormat="1" ht="12.75" customHeight="1">
      <c r="A74" s="387"/>
      <c r="B74" s="2544" t="s">
        <v>798</v>
      </c>
      <c r="C74" s="2544"/>
      <c r="D74" s="395" t="s">
        <v>2150</v>
      </c>
      <c r="E74" s="772" t="s">
        <v>2151</v>
      </c>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4"/>
      <c r="AK74" s="1187"/>
      <c r="AL74" s="389"/>
      <c r="AM74" s="389"/>
      <c r="AN74" s="384"/>
    </row>
    <row r="75" spans="1:42" s="385" customFormat="1" ht="12.75" customHeight="1">
      <c r="A75" s="387"/>
      <c r="B75" s="389"/>
      <c r="C75" s="389"/>
      <c r="D75" s="398"/>
      <c r="E75" s="2569" t="s">
        <v>798</v>
      </c>
      <c r="F75" s="2544"/>
      <c r="G75" s="420"/>
      <c r="H75" s="404" t="s">
        <v>2152</v>
      </c>
      <c r="I75" s="1186"/>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5"/>
      <c r="AK75" s="1187"/>
      <c r="AL75" s="389"/>
      <c r="AM75" s="389"/>
      <c r="AN75" s="384"/>
    </row>
    <row r="76" spans="1:42" s="385" customFormat="1" ht="12.75" customHeight="1">
      <c r="A76" s="387"/>
      <c r="B76" s="389"/>
      <c r="C76" s="389"/>
      <c r="D76" s="398"/>
      <c r="E76" s="2564" t="s">
        <v>798</v>
      </c>
      <c r="F76" s="2565"/>
      <c r="G76" s="420"/>
      <c r="H76" s="404" t="s">
        <v>2153</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5"/>
      <c r="AK76" s="1187"/>
      <c r="AL76" s="389"/>
      <c r="AM76" s="389"/>
      <c r="AN76" s="384"/>
    </row>
    <row r="77" spans="1:42" s="385" customFormat="1" ht="12.75" customHeight="1">
      <c r="A77" s="387"/>
      <c r="B77" s="389"/>
      <c r="C77" s="389"/>
      <c r="D77" s="398"/>
      <c r="E77" s="2564" t="s">
        <v>798</v>
      </c>
      <c r="F77" s="2565"/>
      <c r="G77" s="420"/>
      <c r="H77" s="404" t="s">
        <v>2154</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5"/>
      <c r="AK77" s="1187"/>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5"/>
      <c r="AK78" s="1187"/>
      <c r="AL78" s="389"/>
      <c r="AM78" s="389"/>
      <c r="AN78" s="384"/>
    </row>
    <row r="79" spans="1:42" s="385" customFormat="1" ht="12.75" customHeight="1">
      <c r="A79" s="387"/>
      <c r="B79" s="389"/>
      <c r="C79" s="389"/>
      <c r="D79" s="398"/>
      <c r="E79" s="2569" t="s">
        <v>798</v>
      </c>
      <c r="F79" s="2544"/>
      <c r="G79" s="1191"/>
      <c r="H79" s="777" t="s">
        <v>2155</v>
      </c>
      <c r="I79" s="1191"/>
      <c r="J79" s="1191"/>
      <c r="K79" s="1191"/>
      <c r="L79" s="1191"/>
      <c r="M79" s="1191"/>
      <c r="N79" s="1191"/>
      <c r="O79" s="1191"/>
      <c r="P79" s="1191"/>
      <c r="Q79" s="1191"/>
      <c r="R79" s="1191"/>
      <c r="S79" s="1191"/>
      <c r="T79" s="1191"/>
      <c r="U79" s="1191"/>
      <c r="V79" s="1191"/>
      <c r="W79" s="1191"/>
      <c r="X79" s="1191"/>
      <c r="Y79" s="1191"/>
      <c r="Z79" s="1191"/>
      <c r="AA79" s="1191"/>
      <c r="AB79" s="1191"/>
      <c r="AC79" s="1191"/>
      <c r="AD79" s="1191"/>
      <c r="AE79" s="1191"/>
      <c r="AF79" s="1191"/>
      <c r="AG79" s="1191"/>
      <c r="AH79" s="1191"/>
      <c r="AI79" s="1191"/>
      <c r="AJ79" s="1192"/>
      <c r="AK79" s="1187"/>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187"/>
      <c r="AL80" s="389"/>
      <c r="AM80" s="389"/>
      <c r="AN80" s="384"/>
    </row>
    <row r="81" spans="1:43" s="385" customFormat="1" ht="12.75" customHeight="1">
      <c r="A81" s="387"/>
      <c r="B81" s="2544" t="s">
        <v>798</v>
      </c>
      <c r="C81" s="2544"/>
      <c r="D81" s="395" t="s">
        <v>2156</v>
      </c>
      <c r="E81" s="2471" t="s">
        <v>2157</v>
      </c>
      <c r="F81" s="2472"/>
      <c r="G81" s="2472"/>
      <c r="H81" s="2472"/>
      <c r="I81" s="2472"/>
      <c r="J81" s="2472"/>
      <c r="K81" s="2472"/>
      <c r="L81" s="2472"/>
      <c r="M81" s="2472"/>
      <c r="N81" s="2472"/>
      <c r="O81" s="2472"/>
      <c r="P81" s="2472"/>
      <c r="Q81" s="2472"/>
      <c r="R81" s="2472"/>
      <c r="S81" s="2472"/>
      <c r="T81" s="2472"/>
      <c r="U81" s="2472"/>
      <c r="V81" s="2472"/>
      <c r="W81" s="2472"/>
      <c r="X81" s="2472"/>
      <c r="Y81" s="2472"/>
      <c r="Z81" s="2472"/>
      <c r="AA81" s="2472"/>
      <c r="AB81" s="2472"/>
      <c r="AC81" s="2472"/>
      <c r="AD81" s="2472"/>
      <c r="AE81" s="2472"/>
      <c r="AF81" s="2472"/>
      <c r="AG81" s="2472"/>
      <c r="AH81" s="2472"/>
      <c r="AI81" s="2472"/>
      <c r="AJ81" s="2473"/>
      <c r="AK81" s="1187"/>
      <c r="AL81" s="389"/>
      <c r="AM81" s="389"/>
      <c r="AN81" s="384"/>
    </row>
    <row r="82" spans="1:43" s="385" customFormat="1" ht="12.75" customHeight="1">
      <c r="A82" s="387"/>
      <c r="B82" s="389"/>
      <c r="C82" s="389"/>
      <c r="D82" s="398"/>
      <c r="E82" s="2496"/>
      <c r="F82" s="2497"/>
      <c r="G82" s="2497"/>
      <c r="H82" s="2497"/>
      <c r="I82" s="2497"/>
      <c r="J82" s="2497"/>
      <c r="K82" s="2497"/>
      <c r="L82" s="2497"/>
      <c r="M82" s="2497"/>
      <c r="N82" s="2497"/>
      <c r="O82" s="2497"/>
      <c r="P82" s="2497"/>
      <c r="Q82" s="2497"/>
      <c r="R82" s="2497"/>
      <c r="S82" s="2497"/>
      <c r="T82" s="2497"/>
      <c r="U82" s="2497"/>
      <c r="V82" s="2497"/>
      <c r="W82" s="2497"/>
      <c r="X82" s="2497"/>
      <c r="Y82" s="2497"/>
      <c r="Z82" s="2497"/>
      <c r="AA82" s="2497"/>
      <c r="AB82" s="2497"/>
      <c r="AC82" s="2497"/>
      <c r="AD82" s="2497"/>
      <c r="AE82" s="2497"/>
      <c r="AF82" s="2497"/>
      <c r="AG82" s="2497"/>
      <c r="AH82" s="2497"/>
      <c r="AI82" s="2497"/>
      <c r="AJ82" s="2498"/>
      <c r="AK82" s="1187"/>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187"/>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2158</v>
      </c>
      <c r="AK84" s="2517">
        <f>IF(AK62&gt;0,0,AO71)</f>
        <v>10</v>
      </c>
      <c r="AL84" s="2518"/>
      <c r="AM84" s="2519"/>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207"/>
      <c r="J86" s="1207"/>
      <c r="K86" s="1207"/>
      <c r="L86" s="1207"/>
      <c r="M86" s="1207"/>
      <c r="N86" s="1207"/>
      <c r="O86" s="1207"/>
      <c r="P86" s="1207"/>
      <c r="Q86" s="1207"/>
      <c r="R86" s="416"/>
      <c r="S86" s="388"/>
      <c r="T86" s="388"/>
      <c r="U86" s="388"/>
      <c r="V86" s="388"/>
      <c r="W86" s="388"/>
      <c r="X86" s="388"/>
      <c r="Y86" s="388"/>
      <c r="Z86" s="388"/>
      <c r="AA86" s="388"/>
      <c r="AB86" s="388"/>
      <c r="AC86" s="388"/>
      <c r="AD86" s="388"/>
      <c r="AE86" s="388"/>
      <c r="AF86" s="416"/>
      <c r="AG86" s="388"/>
      <c r="AH86" s="388"/>
      <c r="AI86" s="388"/>
      <c r="AJ86" s="388"/>
      <c r="AK86" s="398"/>
      <c r="AL86" s="398"/>
      <c r="AM86" s="398"/>
      <c r="AN86" s="384"/>
    </row>
    <row r="87" spans="1:43" s="385" customFormat="1" ht="12.75" customHeight="1">
      <c r="A87" s="387" t="s">
        <v>2159</v>
      </c>
      <c r="B87" s="388" t="s">
        <v>2160</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2391" t="s">
        <v>2121</v>
      </c>
      <c r="AF87" s="2391"/>
      <c r="AG87" s="2391"/>
      <c r="AH87" s="2391"/>
      <c r="AI87" s="2391"/>
      <c r="AJ87" s="2391"/>
      <c r="AK87" s="2391"/>
      <c r="AL87" s="389"/>
      <c r="AM87" s="389"/>
      <c r="AN87" s="384"/>
    </row>
    <row r="88" spans="1:43" s="385" customFormat="1" ht="12.75" customHeight="1">
      <c r="A88" s="387"/>
      <c r="B88" s="388" t="s">
        <v>2161</v>
      </c>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87"/>
      <c r="AF88" s="1187"/>
      <c r="AG88" s="1187"/>
      <c r="AH88" s="1187"/>
      <c r="AI88" s="1187"/>
      <c r="AJ88" s="1187"/>
      <c r="AK88" s="1187"/>
      <c r="AL88" s="389"/>
      <c r="AM88" s="389"/>
      <c r="AN88" s="384"/>
    </row>
    <row r="89" spans="1:43" s="385" customFormat="1" ht="12.75" customHeight="1">
      <c r="A89" s="387"/>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1187"/>
      <c r="AF89" s="1187"/>
      <c r="AG89" s="1187"/>
      <c r="AH89" s="1187"/>
      <c r="AI89" s="1187"/>
      <c r="AJ89" s="1187"/>
      <c r="AK89" s="1187"/>
      <c r="AL89" s="389"/>
      <c r="AM89" s="389"/>
      <c r="AN89" s="384"/>
    </row>
    <row r="90" spans="1:43" s="385" customFormat="1" ht="12.75" customHeight="1">
      <c r="A90" s="387"/>
      <c r="B90" s="2544" t="s">
        <v>847</v>
      </c>
      <c r="C90" s="2544"/>
      <c r="D90" s="395" t="s">
        <v>2147</v>
      </c>
      <c r="E90" s="2536" t="s">
        <v>2162</v>
      </c>
      <c r="F90" s="2537"/>
      <c r="G90" s="2537"/>
      <c r="H90" s="2537"/>
      <c r="I90" s="2537"/>
      <c r="J90" s="2537"/>
      <c r="K90" s="2537"/>
      <c r="L90" s="2537"/>
      <c r="M90" s="2537"/>
      <c r="N90" s="2537"/>
      <c r="O90" s="2537"/>
      <c r="P90" s="2537"/>
      <c r="Q90" s="2537"/>
      <c r="R90" s="2537"/>
      <c r="S90" s="2537"/>
      <c r="T90" s="2537"/>
      <c r="U90" s="2537"/>
      <c r="V90" s="2537"/>
      <c r="W90" s="2537"/>
      <c r="X90" s="2537"/>
      <c r="Y90" s="2537"/>
      <c r="Z90" s="2537"/>
      <c r="AA90" s="2537"/>
      <c r="AB90" s="2537"/>
      <c r="AC90" s="2537"/>
      <c r="AD90" s="2537"/>
      <c r="AE90" s="2537"/>
      <c r="AF90" s="2537"/>
      <c r="AG90" s="2537"/>
      <c r="AH90" s="2537"/>
      <c r="AI90" s="2537"/>
      <c r="AJ90" s="2538"/>
      <c r="AK90" s="1187"/>
      <c r="AL90" s="389"/>
      <c r="AM90" s="389"/>
      <c r="AN90" s="384"/>
    </row>
    <row r="91" spans="1:43" s="385" customFormat="1" ht="12.75" customHeight="1">
      <c r="A91" s="387"/>
      <c r="B91" s="388"/>
      <c r="C91" s="388"/>
      <c r="D91" s="388"/>
      <c r="E91" s="2539"/>
      <c r="F91" s="2540"/>
      <c r="G91" s="2540"/>
      <c r="H91" s="2540"/>
      <c r="I91" s="2540"/>
      <c r="J91" s="2540"/>
      <c r="K91" s="2540"/>
      <c r="L91" s="2540"/>
      <c r="M91" s="2540"/>
      <c r="N91" s="2540"/>
      <c r="O91" s="2540"/>
      <c r="P91" s="2540"/>
      <c r="Q91" s="2540"/>
      <c r="R91" s="2540"/>
      <c r="S91" s="2540"/>
      <c r="T91" s="2540"/>
      <c r="U91" s="2540"/>
      <c r="V91" s="2540"/>
      <c r="W91" s="2540"/>
      <c r="X91" s="2540"/>
      <c r="Y91" s="2540"/>
      <c r="Z91" s="2540"/>
      <c r="AA91" s="2540"/>
      <c r="AB91" s="2540"/>
      <c r="AC91" s="2540"/>
      <c r="AD91" s="2540"/>
      <c r="AE91" s="2540"/>
      <c r="AF91" s="2540"/>
      <c r="AG91" s="2540"/>
      <c r="AH91" s="2540"/>
      <c r="AI91" s="2540"/>
      <c r="AJ91" s="2541"/>
      <c r="AK91" s="1187"/>
      <c r="AL91" s="389"/>
      <c r="AM91" s="389"/>
      <c r="AN91" s="384"/>
    </row>
    <row r="92" spans="1:43" s="385" customFormat="1" ht="12.75" customHeight="1">
      <c r="A92" s="387"/>
      <c r="B92" s="388"/>
      <c r="C92" s="388"/>
      <c r="D92" s="388"/>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187"/>
      <c r="AL92" s="389"/>
      <c r="AM92" s="389"/>
      <c r="AN92" s="384"/>
    </row>
    <row r="93" spans="1:43" s="385" customFormat="1" ht="12.75" customHeight="1">
      <c r="A93" s="387"/>
      <c r="B93" s="388"/>
      <c r="C93" s="388"/>
      <c r="D93" s="388"/>
      <c r="E93" s="2532">
        <f>Application!AC753</f>
        <v>0.4557692307692307</v>
      </c>
      <c r="F93" s="2533"/>
      <c r="G93" s="2533"/>
      <c r="H93" s="2533"/>
      <c r="I93" s="422"/>
      <c r="J93" s="425" t="s">
        <v>2163</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187"/>
      <c r="AL93" s="389"/>
      <c r="AM93" s="389"/>
      <c r="AN93" s="384"/>
    </row>
    <row r="94" spans="1:43" s="385" customFormat="1" ht="12.75" customHeight="1">
      <c r="A94" s="387"/>
      <c r="B94" s="388"/>
      <c r="C94" s="388"/>
      <c r="D94" s="388"/>
      <c r="E94" s="2563">
        <f>0.6-ROUNDUP(E93,2)</f>
        <v>0.13999999999999996</v>
      </c>
      <c r="F94" s="2338"/>
      <c r="G94" s="2338"/>
      <c r="H94" s="2338"/>
      <c r="I94" s="422"/>
      <c r="J94" s="425" t="s">
        <v>2164</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187"/>
      <c r="AL94" s="389"/>
      <c r="AM94" s="389"/>
      <c r="AN94" s="384"/>
    </row>
    <row r="95" spans="1:43" s="385" customFormat="1" ht="12.75" customHeight="1">
      <c r="A95" s="387"/>
      <c r="B95" s="388"/>
      <c r="C95" s="388"/>
      <c r="D95" s="388"/>
      <c r="E95" s="2548">
        <f>IF(E94*200&gt;20,20,E94*200)</f>
        <v>20</v>
      </c>
      <c r="F95" s="2549"/>
      <c r="G95" s="2549"/>
      <c r="H95" s="2549"/>
      <c r="I95" s="422"/>
      <c r="J95" s="425" t="s">
        <v>2165</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187"/>
      <c r="AL95" s="389"/>
      <c r="AM95" s="389"/>
      <c r="AN95" s="384"/>
      <c r="AP95" s="385">
        <f>IF(B90="yes",E95,0)</f>
        <v>20</v>
      </c>
      <c r="AQ95" s="385" t="s">
        <v>2127</v>
      </c>
    </row>
    <row r="96" spans="1:43" s="385" customFormat="1" ht="12.75" customHeight="1">
      <c r="A96" s="387"/>
      <c r="B96" s="388"/>
      <c r="C96" s="388"/>
      <c r="D96" s="388"/>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187"/>
      <c r="AL96" s="389"/>
      <c r="AM96" s="389"/>
      <c r="AN96" s="384"/>
    </row>
    <row r="97" spans="1:47" s="385" customFormat="1" ht="12.75" customHeight="1">
      <c r="A97" s="387"/>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1187"/>
      <c r="AF97" s="1187"/>
      <c r="AG97" s="1187"/>
      <c r="AH97" s="1187"/>
      <c r="AI97" s="1187"/>
      <c r="AJ97" s="1187"/>
      <c r="AK97" s="1187"/>
      <c r="AL97" s="389"/>
      <c r="AM97" s="389"/>
      <c r="AN97" s="384"/>
    </row>
    <row r="98" spans="1:47" s="385" customFormat="1" ht="12.75" customHeight="1">
      <c r="A98" s="387"/>
      <c r="B98" s="2544" t="s">
        <v>798</v>
      </c>
      <c r="C98" s="2544"/>
      <c r="D98" s="395" t="s">
        <v>2150</v>
      </c>
      <c r="E98" s="2536" t="s">
        <v>2166</v>
      </c>
      <c r="F98" s="2537"/>
      <c r="G98" s="2537"/>
      <c r="H98" s="2537"/>
      <c r="I98" s="2537"/>
      <c r="J98" s="2537"/>
      <c r="K98" s="2537"/>
      <c r="L98" s="2537"/>
      <c r="M98" s="2537"/>
      <c r="N98" s="2537"/>
      <c r="O98" s="2537"/>
      <c r="P98" s="2537"/>
      <c r="Q98" s="2537"/>
      <c r="R98" s="2537"/>
      <c r="S98" s="2537"/>
      <c r="T98" s="2537"/>
      <c r="U98" s="2537"/>
      <c r="V98" s="2537"/>
      <c r="W98" s="2537"/>
      <c r="X98" s="2537"/>
      <c r="Y98" s="2537"/>
      <c r="Z98" s="2537"/>
      <c r="AA98" s="2537"/>
      <c r="AB98" s="2537"/>
      <c r="AC98" s="2537"/>
      <c r="AD98" s="2537"/>
      <c r="AE98" s="2537"/>
      <c r="AF98" s="2537"/>
      <c r="AG98" s="2537"/>
      <c r="AH98" s="2537"/>
      <c r="AI98" s="2537"/>
      <c r="AJ98" s="2538"/>
      <c r="AK98" s="1187"/>
      <c r="AL98" s="389"/>
      <c r="AM98" s="389"/>
      <c r="AN98" s="384"/>
    </row>
    <row r="99" spans="1:47" s="385" customFormat="1" ht="12.75" customHeight="1">
      <c r="A99" s="387"/>
      <c r="B99" s="388"/>
      <c r="C99" s="388"/>
      <c r="D99" s="388"/>
      <c r="E99" s="2539"/>
      <c r="F99" s="2540"/>
      <c r="G99" s="2540"/>
      <c r="H99" s="2540"/>
      <c r="I99" s="2540"/>
      <c r="J99" s="2540"/>
      <c r="K99" s="2540"/>
      <c r="L99" s="2540"/>
      <c r="M99" s="2540"/>
      <c r="N99" s="2540"/>
      <c r="O99" s="2540"/>
      <c r="P99" s="2540"/>
      <c r="Q99" s="2540"/>
      <c r="R99" s="2540"/>
      <c r="S99" s="2540"/>
      <c r="T99" s="2540"/>
      <c r="U99" s="2540"/>
      <c r="V99" s="2540"/>
      <c r="W99" s="2540"/>
      <c r="X99" s="2540"/>
      <c r="Y99" s="2540"/>
      <c r="Z99" s="2540"/>
      <c r="AA99" s="2540"/>
      <c r="AB99" s="2540"/>
      <c r="AC99" s="2540"/>
      <c r="AD99" s="2540"/>
      <c r="AE99" s="2540"/>
      <c r="AF99" s="2540"/>
      <c r="AG99" s="2540"/>
      <c r="AH99" s="2540"/>
      <c r="AI99" s="2540"/>
      <c r="AJ99" s="2541"/>
      <c r="AK99" s="1187"/>
      <c r="AL99" s="389"/>
      <c r="AM99" s="389"/>
      <c r="AN99" s="384"/>
    </row>
    <row r="100" spans="1:47" s="385" customFormat="1" ht="12.75" customHeight="1">
      <c r="A100" s="387"/>
      <c r="B100" s="388"/>
      <c r="C100" s="388"/>
      <c r="D100" s="388"/>
      <c r="E100" s="2539"/>
      <c r="F100" s="2540"/>
      <c r="G100" s="2540"/>
      <c r="H100" s="2540"/>
      <c r="I100" s="2540"/>
      <c r="J100" s="2540"/>
      <c r="K100" s="2540"/>
      <c r="L100" s="2540"/>
      <c r="M100" s="2540"/>
      <c r="N100" s="2540"/>
      <c r="O100" s="2540"/>
      <c r="P100" s="2540"/>
      <c r="Q100" s="2540"/>
      <c r="R100" s="2540"/>
      <c r="S100" s="2540"/>
      <c r="T100" s="2540"/>
      <c r="U100" s="2540"/>
      <c r="V100" s="2540"/>
      <c r="W100" s="2540"/>
      <c r="X100" s="2540"/>
      <c r="Y100" s="2540"/>
      <c r="Z100" s="2540"/>
      <c r="AA100" s="2540"/>
      <c r="AB100" s="2540"/>
      <c r="AC100" s="2540"/>
      <c r="AD100" s="2540"/>
      <c r="AE100" s="2540"/>
      <c r="AF100" s="2540"/>
      <c r="AG100" s="2540"/>
      <c r="AH100" s="2540"/>
      <c r="AI100" s="2540"/>
      <c r="AJ100" s="2541"/>
      <c r="AK100" s="1187"/>
      <c r="AL100" s="389"/>
      <c r="AM100" s="389"/>
      <c r="AN100" s="384"/>
    </row>
    <row r="101" spans="1:47" s="385" customFormat="1" ht="12.75" customHeight="1">
      <c r="A101" s="387"/>
      <c r="B101" s="388"/>
      <c r="C101" s="388"/>
      <c r="D101" s="388"/>
      <c r="E101" s="2539"/>
      <c r="F101" s="2540"/>
      <c r="G101" s="2540"/>
      <c r="H101" s="2540"/>
      <c r="I101" s="2540"/>
      <c r="J101" s="2540"/>
      <c r="K101" s="2540"/>
      <c r="L101" s="2540"/>
      <c r="M101" s="2540"/>
      <c r="N101" s="2540"/>
      <c r="O101" s="2540"/>
      <c r="P101" s="2540"/>
      <c r="Q101" s="2540"/>
      <c r="R101" s="2540"/>
      <c r="S101" s="2540"/>
      <c r="T101" s="2540"/>
      <c r="U101" s="2540"/>
      <c r="V101" s="2540"/>
      <c r="W101" s="2540"/>
      <c r="X101" s="2540"/>
      <c r="Y101" s="2540"/>
      <c r="Z101" s="2540"/>
      <c r="AA101" s="2540"/>
      <c r="AB101" s="2540"/>
      <c r="AC101" s="2540"/>
      <c r="AD101" s="2540"/>
      <c r="AE101" s="2540"/>
      <c r="AF101" s="2540"/>
      <c r="AG101" s="2540"/>
      <c r="AH101" s="2540"/>
      <c r="AI101" s="2540"/>
      <c r="AJ101" s="2541"/>
      <c r="AK101" s="1187"/>
      <c r="AL101" s="389"/>
      <c r="AM101" s="389"/>
      <c r="AN101" s="384"/>
    </row>
    <row r="102" spans="1:47" s="385" customFormat="1" ht="12.75" customHeight="1">
      <c r="A102" s="387"/>
      <c r="B102" s="388"/>
      <c r="C102" s="388"/>
      <c r="D102" s="388"/>
      <c r="E102" s="1188"/>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90"/>
      <c r="AK102" s="1187"/>
      <c r="AL102" s="389"/>
      <c r="AM102" s="389"/>
      <c r="AN102" s="384"/>
    </row>
    <row r="103" spans="1:47" s="385" customFormat="1" ht="12.75" customHeight="1">
      <c r="A103" s="387"/>
      <c r="B103" s="388"/>
      <c r="C103" s="388"/>
      <c r="D103" s="388"/>
      <c r="E103" s="2532">
        <f>Application!AC753</f>
        <v>0.4557692307692307</v>
      </c>
      <c r="F103" s="2533"/>
      <c r="G103" s="2533"/>
      <c r="H103" s="2533"/>
      <c r="I103" s="422"/>
      <c r="J103" s="425" t="s">
        <v>2163</v>
      </c>
      <c r="K103" s="422"/>
      <c r="L103" s="422"/>
      <c r="M103" s="422"/>
      <c r="N103" s="422"/>
      <c r="O103" s="422"/>
      <c r="P103" s="422"/>
      <c r="Q103" s="422"/>
      <c r="R103" s="1189"/>
      <c r="S103" s="1189"/>
      <c r="T103" s="1189"/>
      <c r="U103" s="1189"/>
      <c r="V103" s="1189"/>
      <c r="W103" s="1189"/>
      <c r="X103" s="1189"/>
      <c r="Y103" s="1189"/>
      <c r="Z103" s="1189"/>
      <c r="AA103" s="1189"/>
      <c r="AB103" s="1189"/>
      <c r="AC103" s="1189"/>
      <c r="AD103" s="1189"/>
      <c r="AE103" s="1189"/>
      <c r="AF103" s="1189"/>
      <c r="AG103" s="1189"/>
      <c r="AH103" s="1189"/>
      <c r="AI103" s="1189"/>
      <c r="AJ103" s="1190"/>
      <c r="AK103" s="1187"/>
      <c r="AL103" s="389"/>
      <c r="AM103" s="389"/>
      <c r="AN103" s="384"/>
    </row>
    <row r="104" spans="1:47" s="385" customFormat="1" ht="12.75" customHeight="1">
      <c r="A104" s="387"/>
      <c r="B104" s="388"/>
      <c r="C104" s="388"/>
      <c r="D104" s="388"/>
      <c r="E104" s="2532">
        <f ca="1">SUMIF(Application!AC718:AG752,0.2,Application!G718:J752)/Application!G753+SUMIF(Application!AC718:AG752,0.25,Application!G718:J752)/Application!G753+SUMIF(Application!AC718:AG752,0.3,Application!G718:J752)/Application!G753</f>
        <v>0.48076923076923078</v>
      </c>
      <c r="F104" s="2533"/>
      <c r="G104" s="2533"/>
      <c r="H104" s="2533"/>
      <c r="I104" s="422"/>
      <c r="J104" s="425" t="s">
        <v>2167</v>
      </c>
      <c r="K104" s="422"/>
      <c r="L104" s="422"/>
      <c r="M104" s="422"/>
      <c r="N104" s="422"/>
      <c r="O104" s="422"/>
      <c r="P104" s="422"/>
      <c r="Q104" s="422"/>
      <c r="R104" s="1189"/>
      <c r="S104" s="1189"/>
      <c r="T104" s="1189"/>
      <c r="U104" s="1189"/>
      <c r="V104" s="1189"/>
      <c r="W104" s="1189"/>
      <c r="X104" s="1189"/>
      <c r="Y104" s="1189"/>
      <c r="Z104" s="1189"/>
      <c r="AA104" s="1189"/>
      <c r="AB104" s="1189"/>
      <c r="AC104" s="1189"/>
      <c r="AD104" s="1189"/>
      <c r="AE104" s="1189"/>
      <c r="AF104" s="1189"/>
      <c r="AG104" s="1189"/>
      <c r="AH104" s="1189"/>
      <c r="AI104" s="1189"/>
      <c r="AJ104" s="1190"/>
      <c r="AK104" s="1187"/>
      <c r="AL104" s="389"/>
      <c r="AM104" s="389"/>
      <c r="AN104" s="384"/>
      <c r="AU104" s="684"/>
    </row>
    <row r="105" spans="1:47" s="385" customFormat="1" ht="12.75" customHeight="1">
      <c r="A105" s="387"/>
      <c r="B105" s="388"/>
      <c r="C105" s="388"/>
      <c r="D105" s="388"/>
      <c r="E105" s="2532">
        <f ca="1">SUMIF(Application!AC718:AG752,0.35,Application!G718:J752)/Application!G753+SUMIF(Application!AC718:AG752,0.4,Application!G718:J752)/Application!G753+SUMIF(Application!AC718:AG752,0.45,Application!G718:J752)/Application!G753+SUMIF(Application!AC718:AG752,0.5,Application!G718:J752)/Application!G753</f>
        <v>0</v>
      </c>
      <c r="F105" s="2533"/>
      <c r="G105" s="2533"/>
      <c r="H105" s="2533"/>
      <c r="I105" s="422"/>
      <c r="J105" s="425" t="s">
        <v>2168</v>
      </c>
      <c r="K105" s="422"/>
      <c r="L105" s="422"/>
      <c r="M105" s="422"/>
      <c r="N105" s="422"/>
      <c r="O105" s="422"/>
      <c r="P105" s="422"/>
      <c r="Q105" s="422"/>
      <c r="R105" s="1189"/>
      <c r="S105" s="1189"/>
      <c r="T105" s="1189"/>
      <c r="U105" s="1189"/>
      <c r="V105" s="1189"/>
      <c r="W105" s="1189"/>
      <c r="X105" s="1189"/>
      <c r="Y105" s="1189"/>
      <c r="Z105" s="1189"/>
      <c r="AA105" s="1189"/>
      <c r="AB105" s="1189"/>
      <c r="AC105" s="1189"/>
      <c r="AD105" s="1189"/>
      <c r="AE105" s="1189"/>
      <c r="AF105" s="1189"/>
      <c r="AG105" s="1189"/>
      <c r="AH105" s="1189"/>
      <c r="AI105" s="1189"/>
      <c r="AJ105" s="1190"/>
      <c r="AK105" s="1187"/>
      <c r="AL105" s="389"/>
      <c r="AM105" s="389"/>
      <c r="AN105" s="384"/>
      <c r="AU105" s="684"/>
    </row>
    <row r="106" spans="1:47" s="385" customFormat="1" ht="12.75" customHeight="1">
      <c r="A106" s="387"/>
      <c r="B106" s="388"/>
      <c r="C106" s="388"/>
      <c r="D106" s="388"/>
      <c r="E106" s="2530">
        <f ca="1">IF(AND(E103&lt;=0.6,OR(AND(E104&gt;=0.1,E105&gt;=0.1),AND(E104&gt;0.1,(E104+E105)&gt;=0.2))),20,0)</f>
        <v>20</v>
      </c>
      <c r="F106" s="2531"/>
      <c r="G106" s="2531"/>
      <c r="H106" s="2531"/>
      <c r="I106" s="1189"/>
      <c r="J106" s="431" t="s">
        <v>2165</v>
      </c>
      <c r="K106" s="1189"/>
      <c r="L106" s="1189"/>
      <c r="M106" s="1189"/>
      <c r="N106" s="1189"/>
      <c r="O106" s="1189"/>
      <c r="P106" s="1189"/>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90"/>
      <c r="AK106" s="1187"/>
      <c r="AL106" s="389"/>
      <c r="AM106" s="389"/>
      <c r="AN106" s="384"/>
      <c r="AP106" s="385">
        <f>IF(B98="yes",E106,0)</f>
        <v>0</v>
      </c>
      <c r="AQ106" s="385" t="s">
        <v>2127</v>
      </c>
    </row>
    <row r="107" spans="1:47" s="385" customFormat="1" ht="12.75" customHeight="1">
      <c r="A107" s="387"/>
      <c r="B107" s="388"/>
      <c r="C107" s="388"/>
      <c r="D107" s="388"/>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187"/>
      <c r="AL107" s="389"/>
      <c r="AM107" s="389"/>
      <c r="AN107" s="384"/>
    </row>
    <row r="108" spans="1:47" s="385" customFormat="1" ht="12.75" customHeight="1">
      <c r="A108" s="387"/>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1187"/>
      <c r="AF108" s="1187"/>
      <c r="AG108" s="1187"/>
      <c r="AH108" s="1187"/>
      <c r="AI108" s="1187"/>
      <c r="AJ108" s="1187"/>
      <c r="AK108" s="1187"/>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2169</v>
      </c>
      <c r="AK109" s="2517">
        <f>MAX(AP95,AP106)</f>
        <v>20</v>
      </c>
      <c r="AL109" s="2518"/>
      <c r="AM109" s="2519"/>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207"/>
      <c r="J111" s="1207"/>
      <c r="K111" s="1207"/>
      <c r="L111" s="1207"/>
      <c r="M111" s="1207"/>
      <c r="N111" s="1207"/>
      <c r="O111" s="1207"/>
      <c r="P111" s="1207"/>
      <c r="Q111" s="1207"/>
      <c r="R111" s="416"/>
      <c r="S111" s="388"/>
      <c r="T111" s="388"/>
      <c r="U111" s="388"/>
      <c r="V111" s="388"/>
      <c r="W111" s="388"/>
      <c r="X111" s="388"/>
      <c r="Y111" s="388"/>
      <c r="Z111" s="388"/>
      <c r="AA111" s="388"/>
      <c r="AB111" s="388"/>
      <c r="AC111" s="388"/>
      <c r="AD111" s="388"/>
      <c r="AE111" s="388"/>
      <c r="AF111" s="416"/>
      <c r="AG111" s="388"/>
      <c r="AH111" s="388"/>
      <c r="AI111" s="388"/>
      <c r="AJ111" s="388"/>
      <c r="AK111" s="398"/>
      <c r="AL111" s="398"/>
      <c r="AM111" s="398"/>
      <c r="AN111" s="384"/>
    </row>
    <row r="112" spans="1:47" s="385" customFormat="1" ht="12.75" customHeight="1">
      <c r="A112" s="387" t="s">
        <v>2170</v>
      </c>
      <c r="B112" s="388" t="s">
        <v>2171</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2391" t="s">
        <v>2145</v>
      </c>
      <c r="AF112" s="2391"/>
      <c r="AG112" s="2391"/>
      <c r="AH112" s="2391"/>
      <c r="AI112" s="2391"/>
      <c r="AJ112" s="2391"/>
      <c r="AK112" s="2391"/>
      <c r="AL112" s="389"/>
      <c r="AM112" s="389"/>
      <c r="AN112" s="384"/>
      <c r="AO112" s="385" t="str">
        <f>Application!B718</f>
        <v>1 Bedroom</v>
      </c>
      <c r="AQ112" s="385">
        <f>Application!O718</f>
        <v>1239</v>
      </c>
    </row>
    <row r="113" spans="1:52" s="385" customFormat="1" ht="12.75" customHeight="1">
      <c r="A113" s="389"/>
      <c r="B113" s="388" t="s">
        <v>2161</v>
      </c>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1187"/>
      <c r="AF113" s="1187"/>
      <c r="AG113" s="1187"/>
      <c r="AH113" s="1187"/>
      <c r="AI113" s="1187"/>
      <c r="AJ113" s="1187"/>
      <c r="AK113" s="389"/>
      <c r="AL113" s="389"/>
      <c r="AM113" s="389"/>
      <c r="AN113" s="384"/>
      <c r="AO113" s="385" t="str">
        <f>Application!B719</f>
        <v>2 Bedrooms</v>
      </c>
      <c r="AQ113" s="385">
        <f>Application!O719</f>
        <v>1463</v>
      </c>
    </row>
    <row r="114" spans="1:52" s="385" customFormat="1" ht="12.75" customHeight="1">
      <c r="A114" s="389"/>
      <c r="B114" s="388"/>
      <c r="C114" s="388"/>
      <c r="D114" s="388"/>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2 Bedrooms</v>
      </c>
      <c r="AQ114" s="385">
        <f>Application!O720</f>
        <v>636.20000000000005</v>
      </c>
    </row>
    <row r="115" spans="1:52" s="385" customFormat="1" ht="12.75" customHeight="1">
      <c r="A115" s="389"/>
      <c r="B115" s="2544" t="s">
        <v>847</v>
      </c>
      <c r="C115" s="2544"/>
      <c r="D115" s="395" t="s">
        <v>2147</v>
      </c>
      <c r="E115" s="2536" t="s">
        <v>2172</v>
      </c>
      <c r="F115" s="2537"/>
      <c r="G115" s="2537"/>
      <c r="H115" s="2537"/>
      <c r="I115" s="2537"/>
      <c r="J115" s="2537"/>
      <c r="K115" s="2537"/>
      <c r="L115" s="2537"/>
      <c r="M115" s="2537"/>
      <c r="N115" s="2537"/>
      <c r="O115" s="2537"/>
      <c r="P115" s="2537"/>
      <c r="Q115" s="2537"/>
      <c r="R115" s="2537"/>
      <c r="S115" s="2537"/>
      <c r="T115" s="2537"/>
      <c r="U115" s="2537"/>
      <c r="V115" s="2537"/>
      <c r="W115" s="2537"/>
      <c r="X115" s="2537"/>
      <c r="Y115" s="2537"/>
      <c r="Z115" s="2537"/>
      <c r="AA115" s="2537"/>
      <c r="AB115" s="2537"/>
      <c r="AC115" s="2537"/>
      <c r="AD115" s="2537"/>
      <c r="AE115" s="2537"/>
      <c r="AF115" s="2537"/>
      <c r="AG115" s="2537"/>
      <c r="AH115" s="2537"/>
      <c r="AI115" s="2537"/>
      <c r="AJ115" s="2538"/>
      <c r="AK115" s="389"/>
      <c r="AL115" s="389"/>
      <c r="AM115" s="389"/>
      <c r="AN115" s="384"/>
      <c r="AO115" s="385" t="str">
        <f>Application!B721</f>
        <v>3 Bedrooms</v>
      </c>
      <c r="AQ115" s="385">
        <f>Application!O721</f>
        <v>1664.2</v>
      </c>
      <c r="AU115" s="385" t="s">
        <v>2173</v>
      </c>
      <c r="AV115" s="437" t="s">
        <v>2174</v>
      </c>
      <c r="AW115" s="385" t="s">
        <v>2175</v>
      </c>
    </row>
    <row r="116" spans="1:52" s="385" customFormat="1" ht="12.75" customHeight="1">
      <c r="A116" s="389"/>
      <c r="B116" s="388"/>
      <c r="C116" s="388"/>
      <c r="D116" s="388"/>
      <c r="E116" s="2539"/>
      <c r="F116" s="2540"/>
      <c r="G116" s="2540"/>
      <c r="H116" s="2540"/>
      <c r="I116" s="2540"/>
      <c r="J116" s="2540"/>
      <c r="K116" s="2540"/>
      <c r="L116" s="2540"/>
      <c r="M116" s="2540"/>
      <c r="N116" s="2540"/>
      <c r="O116" s="2540"/>
      <c r="P116" s="2540"/>
      <c r="Q116" s="2540"/>
      <c r="R116" s="2540"/>
      <c r="S116" s="2540"/>
      <c r="T116" s="2540"/>
      <c r="U116" s="2540"/>
      <c r="V116" s="2540"/>
      <c r="W116" s="2540"/>
      <c r="X116" s="2540"/>
      <c r="Y116" s="2540"/>
      <c r="Z116" s="2540"/>
      <c r="AA116" s="2540"/>
      <c r="AB116" s="2540"/>
      <c r="AC116" s="2540"/>
      <c r="AD116" s="2540"/>
      <c r="AE116" s="2540"/>
      <c r="AF116" s="2540"/>
      <c r="AG116" s="2540"/>
      <c r="AH116" s="2540"/>
      <c r="AI116" s="2540"/>
      <c r="AJ116" s="2541"/>
      <c r="AK116" s="389"/>
      <c r="AL116" s="389"/>
      <c r="AM116" s="389"/>
      <c r="AN116" s="384"/>
      <c r="AO116" s="385" t="str">
        <f>Application!B722</f>
        <v>3 Bedrooms</v>
      </c>
      <c r="AQ116" s="385">
        <f>Application!O722</f>
        <v>709</v>
      </c>
      <c r="AU116" s="679" t="str">
        <f>E124</f>
        <v>Studio/SRO</v>
      </c>
      <c r="AV116" s="385">
        <f t="array" ref="AV116">SUM(IF(Application!B718:F752="SRO/Studio",Application!G718:J752))</f>
        <v>0</v>
      </c>
      <c r="AW116" s="802">
        <f>AV116/AV122</f>
        <v>0</v>
      </c>
    </row>
    <row r="117" spans="1:52" s="385" customFormat="1" ht="12.75" customHeight="1">
      <c r="A117" s="389"/>
      <c r="B117" s="388"/>
      <c r="C117" s="388"/>
      <c r="D117" s="388"/>
      <c r="E117" s="2539"/>
      <c r="F117" s="2540"/>
      <c r="G117" s="2540"/>
      <c r="H117" s="2540"/>
      <c r="I117" s="2540"/>
      <c r="J117" s="2540"/>
      <c r="K117" s="2540"/>
      <c r="L117" s="2540"/>
      <c r="M117" s="2540"/>
      <c r="N117" s="2540"/>
      <c r="O117" s="2540"/>
      <c r="P117" s="2540"/>
      <c r="Q117" s="2540"/>
      <c r="R117" s="2540"/>
      <c r="S117" s="2540"/>
      <c r="T117" s="2540"/>
      <c r="U117" s="2540"/>
      <c r="V117" s="2540"/>
      <c r="W117" s="2540"/>
      <c r="X117" s="2540"/>
      <c r="Y117" s="2540"/>
      <c r="Z117" s="2540"/>
      <c r="AA117" s="2540"/>
      <c r="AB117" s="2540"/>
      <c r="AC117" s="2540"/>
      <c r="AD117" s="2540"/>
      <c r="AE117" s="2540"/>
      <c r="AF117" s="2540"/>
      <c r="AG117" s="2540"/>
      <c r="AH117" s="2540"/>
      <c r="AI117" s="2540"/>
      <c r="AJ117" s="2541"/>
      <c r="AK117" s="389"/>
      <c r="AL117" s="389"/>
      <c r="AM117" s="389"/>
      <c r="AN117" s="384"/>
      <c r="AO117" s="385">
        <f>Application!B723</f>
        <v>0</v>
      </c>
      <c r="AQ117" s="385">
        <f>Application!O723</f>
        <v>0</v>
      </c>
      <c r="AU117" s="679" t="str">
        <f>J124</f>
        <v>1-bedroom</v>
      </c>
      <c r="AV117" s="385">
        <f t="array" ref="AV117">SUM(IF(Application!B718:F752="1 Bedroom",Application!G718:J752))</f>
        <v>6</v>
      </c>
      <c r="AW117" s="802">
        <f>AV117/AV122</f>
        <v>0.11538461538461539</v>
      </c>
    </row>
    <row r="118" spans="1:52" s="385" customFormat="1" ht="12.75" customHeight="1">
      <c r="A118" s="389"/>
      <c r="B118" s="388"/>
      <c r="C118" s="388"/>
      <c r="D118" s="388"/>
      <c r="E118" s="2539"/>
      <c r="F118" s="2540"/>
      <c r="G118" s="2540"/>
      <c r="H118" s="2540"/>
      <c r="I118" s="2540"/>
      <c r="J118" s="2540"/>
      <c r="K118" s="2540"/>
      <c r="L118" s="2540"/>
      <c r="M118" s="2540"/>
      <c r="N118" s="2540"/>
      <c r="O118" s="2540"/>
      <c r="P118" s="2540"/>
      <c r="Q118" s="2540"/>
      <c r="R118" s="2540"/>
      <c r="S118" s="2540"/>
      <c r="T118" s="2540"/>
      <c r="U118" s="2540"/>
      <c r="V118" s="2540"/>
      <c r="W118" s="2540"/>
      <c r="X118" s="2540"/>
      <c r="Y118" s="2540"/>
      <c r="Z118" s="2540"/>
      <c r="AA118" s="2540"/>
      <c r="AB118" s="2540"/>
      <c r="AC118" s="2540"/>
      <c r="AD118" s="2540"/>
      <c r="AE118" s="2540"/>
      <c r="AF118" s="2540"/>
      <c r="AG118" s="2540"/>
      <c r="AH118" s="2540"/>
      <c r="AI118" s="2540"/>
      <c r="AJ118" s="2541"/>
      <c r="AK118" s="389"/>
      <c r="AL118" s="389"/>
      <c r="AM118" s="389"/>
      <c r="AN118" s="384"/>
      <c r="AO118" s="385">
        <f>Application!B724</f>
        <v>0</v>
      </c>
      <c r="AQ118" s="385">
        <f>Application!O724</f>
        <v>0</v>
      </c>
      <c r="AU118" s="679" t="str">
        <f>O124</f>
        <v>2-bedroom</v>
      </c>
      <c r="AV118" s="385">
        <f t="array" ref="AV118">SUM(IF(Application!B718:F752="2 Bedrooms",Application!G718:J752))</f>
        <v>24</v>
      </c>
      <c r="AW118" s="802">
        <f>AV118/AV122</f>
        <v>0.46153846153846156</v>
      </c>
    </row>
    <row r="119" spans="1:52" s="385" customFormat="1" ht="12.75" customHeight="1">
      <c r="A119" s="389"/>
      <c r="B119" s="388"/>
      <c r="C119" s="388"/>
      <c r="D119" s="388"/>
      <c r="E119" s="2539"/>
      <c r="F119" s="2540"/>
      <c r="G119" s="2540"/>
      <c r="H119" s="2540"/>
      <c r="I119" s="2540"/>
      <c r="J119" s="2540"/>
      <c r="K119" s="2540"/>
      <c r="L119" s="2540"/>
      <c r="M119" s="2540"/>
      <c r="N119" s="2540"/>
      <c r="O119" s="2540"/>
      <c r="P119" s="2540"/>
      <c r="Q119" s="2540"/>
      <c r="R119" s="2540"/>
      <c r="S119" s="2540"/>
      <c r="T119" s="2540"/>
      <c r="U119" s="2540"/>
      <c r="V119" s="2540"/>
      <c r="W119" s="2540"/>
      <c r="X119" s="2540"/>
      <c r="Y119" s="2540"/>
      <c r="Z119" s="2540"/>
      <c r="AA119" s="2540"/>
      <c r="AB119" s="2540"/>
      <c r="AC119" s="2540"/>
      <c r="AD119" s="2540"/>
      <c r="AE119" s="2540"/>
      <c r="AF119" s="2540"/>
      <c r="AG119" s="2540"/>
      <c r="AH119" s="2540"/>
      <c r="AI119" s="2540"/>
      <c r="AJ119" s="2541"/>
      <c r="AK119" s="389"/>
      <c r="AL119" s="389"/>
      <c r="AM119" s="389"/>
      <c r="AN119" s="384"/>
      <c r="AO119" s="385">
        <f>Application!B725</f>
        <v>0</v>
      </c>
      <c r="AQ119" s="385">
        <f>Application!O725</f>
        <v>0</v>
      </c>
      <c r="AU119" s="679" t="str">
        <f>T124</f>
        <v>3-bedroom</v>
      </c>
      <c r="AV119" s="385">
        <f t="array" ref="AV119">SUM(IF(Application!B718:F752="3 Bedrooms",Application!G718:J752))</f>
        <v>22</v>
      </c>
      <c r="AW119" s="802">
        <f>AV119/AV122</f>
        <v>0.42307692307692307</v>
      </c>
    </row>
    <row r="120" spans="1:52" s="385" customFormat="1" ht="12.75" customHeight="1">
      <c r="A120" s="389"/>
      <c r="B120" s="388"/>
      <c r="C120" s="388"/>
      <c r="D120" s="388"/>
      <c r="E120" s="2539"/>
      <c r="F120" s="2540"/>
      <c r="G120" s="2540"/>
      <c r="H120" s="2540"/>
      <c r="I120" s="2540"/>
      <c r="J120" s="2540"/>
      <c r="K120" s="2540"/>
      <c r="L120" s="2540"/>
      <c r="M120" s="2540"/>
      <c r="N120" s="2540"/>
      <c r="O120" s="2540"/>
      <c r="P120" s="2540"/>
      <c r="Q120" s="2540"/>
      <c r="R120" s="2540"/>
      <c r="S120" s="2540"/>
      <c r="T120" s="2540"/>
      <c r="U120" s="2540"/>
      <c r="V120" s="2540"/>
      <c r="W120" s="2540"/>
      <c r="X120" s="2540"/>
      <c r="Y120" s="2540"/>
      <c r="Z120" s="2540"/>
      <c r="AA120" s="2540"/>
      <c r="AB120" s="2540"/>
      <c r="AC120" s="2540"/>
      <c r="AD120" s="2540"/>
      <c r="AE120" s="2540"/>
      <c r="AF120" s="2540"/>
      <c r="AG120" s="2540"/>
      <c r="AH120" s="2540"/>
      <c r="AI120" s="2540"/>
      <c r="AJ120" s="2541"/>
      <c r="AK120" s="389"/>
      <c r="AL120" s="389"/>
      <c r="AM120" s="389"/>
      <c r="AN120" s="384"/>
      <c r="AO120" s="385">
        <f>Application!B726</f>
        <v>0</v>
      </c>
      <c r="AQ120" s="385">
        <f>Application!O726</f>
        <v>0</v>
      </c>
      <c r="AU120" s="679" t="str">
        <f>Y124</f>
        <v>4-bedroom</v>
      </c>
      <c r="AV120" s="385">
        <f t="array" ref="AV120">SUM(IF(Application!B718:F752="4 Bedrooms",Application!G718:J752))</f>
        <v>0</v>
      </c>
      <c r="AW120" s="802">
        <f>AV120/AV122</f>
        <v>0</v>
      </c>
    </row>
    <row r="121" spans="1:52" s="385" customFormat="1" ht="12.75" customHeight="1">
      <c r="A121" s="389"/>
      <c r="B121" s="388"/>
      <c r="C121" s="388"/>
      <c r="D121" s="388"/>
      <c r="E121" s="2539"/>
      <c r="F121" s="2540"/>
      <c r="G121" s="2540"/>
      <c r="H121" s="2540"/>
      <c r="I121" s="2540"/>
      <c r="J121" s="2540"/>
      <c r="K121" s="2540"/>
      <c r="L121" s="2540"/>
      <c r="M121" s="2540"/>
      <c r="N121" s="2540"/>
      <c r="O121" s="2540"/>
      <c r="P121" s="2540"/>
      <c r="Q121" s="2540"/>
      <c r="R121" s="2540"/>
      <c r="S121" s="2540"/>
      <c r="T121" s="2540"/>
      <c r="U121" s="2540"/>
      <c r="V121" s="2540"/>
      <c r="W121" s="2540"/>
      <c r="X121" s="2540"/>
      <c r="Y121" s="2540"/>
      <c r="Z121" s="2540"/>
      <c r="AA121" s="2540"/>
      <c r="AB121" s="2540"/>
      <c r="AC121" s="2540"/>
      <c r="AD121" s="2540"/>
      <c r="AE121" s="2540"/>
      <c r="AF121" s="2540"/>
      <c r="AG121" s="2540"/>
      <c r="AH121" s="2540"/>
      <c r="AI121" s="2540"/>
      <c r="AJ121" s="2541"/>
      <c r="AK121" s="389"/>
      <c r="AL121" s="389"/>
      <c r="AM121" s="389"/>
      <c r="AN121" s="384"/>
      <c r="AO121" s="385">
        <f>Application!B727</f>
        <v>0</v>
      </c>
      <c r="AQ121" s="385">
        <f>Application!O727</f>
        <v>0</v>
      </c>
      <c r="AU121" s="679" t="str">
        <f>AD124</f>
        <v>5-bedroom</v>
      </c>
      <c r="AV121" s="385">
        <f t="array" ref="AV121">SUM(IF(Application!B718:F752="5 Bedrooms",Application!G718:J752))</f>
        <v>0</v>
      </c>
      <c r="AW121" s="802">
        <f>AV121/AV122</f>
        <v>0</v>
      </c>
    </row>
    <row r="122" spans="1:52" s="385" customFormat="1" ht="12.75" customHeight="1">
      <c r="A122" s="389"/>
      <c r="B122" s="388"/>
      <c r="C122" s="388"/>
      <c r="D122" s="388"/>
      <c r="E122" s="2539"/>
      <c r="F122" s="2540"/>
      <c r="G122" s="2540"/>
      <c r="H122" s="2540"/>
      <c r="I122" s="2540"/>
      <c r="J122" s="2540"/>
      <c r="K122" s="2540"/>
      <c r="L122" s="2540"/>
      <c r="M122" s="2540"/>
      <c r="N122" s="2540"/>
      <c r="O122" s="2540"/>
      <c r="P122" s="2540"/>
      <c r="Q122" s="2540"/>
      <c r="R122" s="2540"/>
      <c r="S122" s="2540"/>
      <c r="T122" s="2540"/>
      <c r="U122" s="2540"/>
      <c r="V122" s="2540"/>
      <c r="W122" s="2540"/>
      <c r="X122" s="2540"/>
      <c r="Y122" s="2540"/>
      <c r="Z122" s="2540"/>
      <c r="AA122" s="2540"/>
      <c r="AB122" s="2540"/>
      <c r="AC122" s="2540"/>
      <c r="AD122" s="2540"/>
      <c r="AE122" s="2540"/>
      <c r="AF122" s="2540"/>
      <c r="AG122" s="2540"/>
      <c r="AH122" s="2540"/>
      <c r="AI122" s="2540"/>
      <c r="AJ122" s="2541"/>
      <c r="AK122" s="389"/>
      <c r="AL122" s="389"/>
      <c r="AM122" s="389"/>
      <c r="AN122" s="384"/>
      <c r="AO122" s="385">
        <f>Application!B728</f>
        <v>0</v>
      </c>
      <c r="AQ122" s="385">
        <f>Application!O728</f>
        <v>0</v>
      </c>
      <c r="AV122" s="385">
        <f>SUM(AV116:AV121)</f>
        <v>52</v>
      </c>
      <c r="AW122" s="802">
        <f>SUM(AW116:AW121)</f>
        <v>1</v>
      </c>
    </row>
    <row r="123" spans="1:52" s="385" customFormat="1" ht="12.75" customHeight="1">
      <c r="A123" s="389"/>
      <c r="B123" s="388"/>
      <c r="C123" s="388"/>
      <c r="D123" s="388"/>
      <c r="E123" s="1188"/>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90"/>
      <c r="AK123" s="389"/>
      <c r="AL123" s="389"/>
      <c r="AM123" s="389"/>
      <c r="AN123" s="384"/>
      <c r="AO123" s="385">
        <f>Application!B729</f>
        <v>0</v>
      </c>
      <c r="AQ123" s="385">
        <f>Application!O729</f>
        <v>0</v>
      </c>
    </row>
    <row r="124" spans="1:52" s="385" customFormat="1" ht="12.75" customHeight="1">
      <c r="A124" s="389"/>
      <c r="B124" s="388"/>
      <c r="C124" s="389"/>
      <c r="D124" s="389"/>
      <c r="E124" s="2532" t="s">
        <v>2176</v>
      </c>
      <c r="F124" s="2533"/>
      <c r="G124" s="2533"/>
      <c r="H124" s="2533"/>
      <c r="I124" s="422"/>
      <c r="J124" s="2533" t="s">
        <v>2177</v>
      </c>
      <c r="K124" s="2533"/>
      <c r="L124" s="2533"/>
      <c r="M124" s="2533"/>
      <c r="N124" s="422"/>
      <c r="O124" s="2533" t="s">
        <v>2178</v>
      </c>
      <c r="P124" s="2533"/>
      <c r="Q124" s="2533"/>
      <c r="R124" s="2533"/>
      <c r="S124" s="422"/>
      <c r="T124" s="2533" t="s">
        <v>2179</v>
      </c>
      <c r="U124" s="2533"/>
      <c r="V124" s="2533"/>
      <c r="W124" s="2533"/>
      <c r="X124" s="422"/>
      <c r="Y124" s="2533" t="s">
        <v>2180</v>
      </c>
      <c r="Z124" s="2533"/>
      <c r="AA124" s="2533"/>
      <c r="AB124" s="2533"/>
      <c r="AC124" s="422"/>
      <c r="AD124" s="2533" t="s">
        <v>2181</v>
      </c>
      <c r="AE124" s="2533"/>
      <c r="AF124" s="2533"/>
      <c r="AG124" s="2533"/>
      <c r="AH124" s="422"/>
      <c r="AI124" s="422"/>
      <c r="AJ124" s="424"/>
      <c r="AK124" s="389"/>
      <c r="AL124" s="389"/>
      <c r="AM124" s="389"/>
      <c r="AN124" s="384"/>
      <c r="AO124" s="385">
        <f>Application!B730</f>
        <v>0</v>
      </c>
      <c r="AQ124" s="385">
        <f>Application!O730</f>
        <v>0</v>
      </c>
    </row>
    <row r="125" spans="1:52" s="385" customFormat="1" ht="12.75" customHeight="1">
      <c r="A125" s="389"/>
      <c r="B125" s="388"/>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f>Application!B731</f>
        <v>0</v>
      </c>
      <c r="AQ125" s="385">
        <f>Application!O731</f>
        <v>0</v>
      </c>
    </row>
    <row r="126" spans="1:52" s="385" customFormat="1" ht="12.75" customHeight="1">
      <c r="A126" s="389"/>
      <c r="B126" s="388"/>
      <c r="C126" s="389"/>
      <c r="D126" s="389"/>
      <c r="E126" s="688" t="s">
        <v>2182</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f>Application!B732</f>
        <v>0</v>
      </c>
      <c r="AQ126" s="385">
        <f>Application!O732</f>
        <v>0</v>
      </c>
    </row>
    <row r="127" spans="1:52" s="385" customFormat="1" ht="12.75" customHeight="1">
      <c r="A127" s="389"/>
      <c r="B127" s="388"/>
      <c r="C127" s="389"/>
      <c r="D127" s="389"/>
      <c r="E127" s="2534"/>
      <c r="F127" s="2535"/>
      <c r="G127" s="2535"/>
      <c r="H127" s="2535"/>
      <c r="I127" s="686"/>
      <c r="J127" s="2535">
        <v>2245</v>
      </c>
      <c r="K127" s="2535"/>
      <c r="L127" s="2535"/>
      <c r="M127" s="2535"/>
      <c r="N127" s="686"/>
      <c r="O127" s="2535">
        <v>2572</v>
      </c>
      <c r="P127" s="2535"/>
      <c r="Q127" s="2535"/>
      <c r="R127" s="2535"/>
      <c r="S127" s="686"/>
      <c r="T127" s="2535">
        <v>2884</v>
      </c>
      <c r="U127" s="2535"/>
      <c r="V127" s="2535"/>
      <c r="W127" s="2535"/>
      <c r="X127" s="686"/>
      <c r="Y127" s="2535"/>
      <c r="Z127" s="2535"/>
      <c r="AA127" s="2535"/>
      <c r="AB127" s="2535"/>
      <c r="AC127" s="686"/>
      <c r="AD127" s="2535"/>
      <c r="AE127" s="2535"/>
      <c r="AF127" s="2535"/>
      <c r="AG127" s="2535"/>
      <c r="AH127" s="422"/>
      <c r="AI127" s="422"/>
      <c r="AJ127" s="424"/>
      <c r="AK127" s="389"/>
      <c r="AL127" s="389"/>
      <c r="AM127" s="389"/>
      <c r="AN127" s="384"/>
      <c r="AO127" s="385">
        <f>Application!B733</f>
        <v>0</v>
      </c>
      <c r="AQ127" s="385">
        <f>Application!O733</f>
        <v>0</v>
      </c>
    </row>
    <row r="128" spans="1:52" s="385" customFormat="1" ht="12.75" customHeight="1">
      <c r="A128" s="389"/>
      <c r="B128" s="388"/>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f>Application!B734</f>
        <v>0</v>
      </c>
      <c r="AQ128" s="385">
        <f>Application!O734</f>
        <v>0</v>
      </c>
      <c r="AU128" s="800"/>
      <c r="AV128" s="800"/>
      <c r="AW128" s="800"/>
      <c r="AX128" s="800"/>
      <c r="AY128" s="800"/>
      <c r="AZ128" s="800"/>
    </row>
    <row r="129" spans="1:52" s="385" customFormat="1" ht="12.75" customHeight="1">
      <c r="A129" s="389"/>
      <c r="B129" s="388"/>
      <c r="C129" s="389"/>
      <c r="D129" s="389"/>
      <c r="E129" s="688" t="s">
        <v>2183</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f>Application!B735</f>
        <v>0</v>
      </c>
      <c r="AQ129" s="385">
        <f>Application!O735</f>
        <v>0</v>
      </c>
      <c r="AU129" s="800"/>
      <c r="AV129" s="800"/>
      <c r="AW129" s="800"/>
      <c r="AX129" s="800"/>
      <c r="AY129" s="800"/>
      <c r="AZ129" s="800"/>
    </row>
    <row r="130" spans="1:52" s="385" customFormat="1" ht="12.75" customHeight="1">
      <c r="A130" s="389"/>
      <c r="B130" s="388"/>
      <c r="C130" s="389"/>
      <c r="D130" s="389"/>
      <c r="E130" s="2542">
        <f>Application!DX670</f>
        <v>0</v>
      </c>
      <c r="F130" s="2543"/>
      <c r="G130" s="2543"/>
      <c r="H130" s="2543"/>
      <c r="I130" s="686"/>
      <c r="J130" s="2543">
        <f>Application!EC670</f>
        <v>1239</v>
      </c>
      <c r="K130" s="2543"/>
      <c r="L130" s="2543"/>
      <c r="M130" s="2543"/>
      <c r="N130" s="686"/>
      <c r="O130" s="2543">
        <f>Application!EH670</f>
        <v>1118.5</v>
      </c>
      <c r="P130" s="2543"/>
      <c r="Q130" s="2543"/>
      <c r="R130" s="2543"/>
      <c r="S130" s="690"/>
      <c r="T130" s="2543">
        <f>Application!EM670</f>
        <v>1012.9272727272727</v>
      </c>
      <c r="U130" s="2543"/>
      <c r="V130" s="2543"/>
      <c r="W130" s="2543"/>
      <c r="X130" s="690"/>
      <c r="Y130" s="2543">
        <f>Application!ER670</f>
        <v>0</v>
      </c>
      <c r="Z130" s="2543"/>
      <c r="AA130" s="2543"/>
      <c r="AB130" s="2543"/>
      <c r="AC130" s="690"/>
      <c r="AD130" s="2543">
        <f>Application!EW670</f>
        <v>0</v>
      </c>
      <c r="AE130" s="2543"/>
      <c r="AF130" s="2543"/>
      <c r="AG130" s="2543"/>
      <c r="AH130" s="422"/>
      <c r="AI130" s="422"/>
      <c r="AJ130" s="424"/>
      <c r="AK130" s="389"/>
      <c r="AL130" s="389"/>
      <c r="AM130" s="389"/>
      <c r="AN130" s="384"/>
      <c r="AO130" s="385">
        <f>Application!B736</f>
        <v>0</v>
      </c>
      <c r="AQ130" s="385">
        <f>Application!O736</f>
        <v>0</v>
      </c>
      <c r="AU130" s="800"/>
      <c r="AV130" s="800"/>
      <c r="AW130" s="801"/>
      <c r="AX130" s="801"/>
      <c r="AY130" s="800"/>
      <c r="AZ130" s="800"/>
    </row>
    <row r="131" spans="1:52" s="385" customFormat="1" ht="12.75" customHeight="1">
      <c r="A131" s="389"/>
      <c r="B131" s="388"/>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f>Application!B737</f>
        <v>0</v>
      </c>
      <c r="AQ131" s="385">
        <f>Application!O737</f>
        <v>0</v>
      </c>
      <c r="AU131" s="800"/>
      <c r="AV131" s="800"/>
      <c r="AW131" s="801"/>
      <c r="AX131" s="801"/>
      <c r="AY131" s="800"/>
      <c r="AZ131" s="800"/>
    </row>
    <row r="132" spans="1:52" s="385" customFormat="1" ht="12.75" customHeight="1">
      <c r="A132" s="389"/>
      <c r="B132" s="388"/>
      <c r="C132" s="389"/>
      <c r="D132" s="389"/>
      <c r="E132" s="688" t="s">
        <v>2184</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f>Application!B738</f>
        <v>0</v>
      </c>
      <c r="AQ132" s="385">
        <f>Application!O738</f>
        <v>0</v>
      </c>
      <c r="AU132" s="800"/>
      <c r="AV132" s="800"/>
      <c r="AW132" s="801"/>
      <c r="AX132" s="801"/>
      <c r="AY132" s="800"/>
      <c r="AZ132" s="800"/>
    </row>
    <row r="133" spans="1:52" s="385" customFormat="1" ht="12.75" customHeight="1">
      <c r="A133" s="389"/>
      <c r="B133" s="388"/>
      <c r="C133" s="389"/>
      <c r="D133" s="389"/>
      <c r="E133" s="2337" t="e">
        <f>(E127-E130)/E127</f>
        <v>#DIV/0!</v>
      </c>
      <c r="F133" s="2338"/>
      <c r="G133" s="2338"/>
      <c r="H133" s="2339"/>
      <c r="I133" s="422"/>
      <c r="J133" s="2337">
        <f>(J127-J130)/J127</f>
        <v>0.44810690423162586</v>
      </c>
      <c r="K133" s="2338"/>
      <c r="L133" s="2338"/>
      <c r="M133" s="2339"/>
      <c r="N133" s="422"/>
      <c r="O133" s="2337">
        <f>(O127-O130)/O127</f>
        <v>0.56512441679626746</v>
      </c>
      <c r="P133" s="2338"/>
      <c r="Q133" s="2338"/>
      <c r="R133" s="2339"/>
      <c r="S133" s="422"/>
      <c r="T133" s="2337">
        <f>(T127-T130)/T127</f>
        <v>0.6487769512041357</v>
      </c>
      <c r="U133" s="2338"/>
      <c r="V133" s="2338"/>
      <c r="W133" s="2339"/>
      <c r="X133" s="422"/>
      <c r="Y133" s="2337" t="e">
        <f>(Y127-Y130)/Y127</f>
        <v>#DIV/0!</v>
      </c>
      <c r="Z133" s="2338"/>
      <c r="AA133" s="2338"/>
      <c r="AB133" s="2339"/>
      <c r="AC133" s="422"/>
      <c r="AD133" s="2337" t="e">
        <f>(AD127-AD130)/AD127</f>
        <v>#DIV/0!</v>
      </c>
      <c r="AE133" s="2338"/>
      <c r="AF133" s="2338"/>
      <c r="AG133" s="2339"/>
      <c r="AH133" s="422"/>
      <c r="AI133" s="422"/>
      <c r="AJ133" s="424"/>
      <c r="AK133" s="389"/>
      <c r="AL133" s="389"/>
      <c r="AM133" s="389"/>
      <c r="AN133" s="384"/>
      <c r="AO133" s="385">
        <f>Application!B739</f>
        <v>0</v>
      </c>
      <c r="AQ133" s="385">
        <f>Application!O739</f>
        <v>0</v>
      </c>
      <c r="AU133" s="800"/>
      <c r="AV133" s="800"/>
      <c r="AW133" s="801"/>
      <c r="AX133" s="801"/>
      <c r="AY133" s="800"/>
      <c r="AZ133" s="800"/>
    </row>
    <row r="134" spans="1:52" s="385" customFormat="1" ht="12.75" customHeight="1">
      <c r="A134" s="389"/>
      <c r="B134" s="388"/>
      <c r="C134" s="389"/>
      <c r="D134" s="389"/>
      <c r="E134" s="798"/>
      <c r="F134" s="797"/>
      <c r="G134" s="797"/>
      <c r="H134" s="797"/>
      <c r="I134" s="422"/>
      <c r="J134" s="797"/>
      <c r="K134" s="797"/>
      <c r="L134" s="797"/>
      <c r="M134" s="797"/>
      <c r="N134" s="422"/>
      <c r="O134" s="797"/>
      <c r="P134" s="797"/>
      <c r="Q134" s="797"/>
      <c r="R134" s="797"/>
      <c r="S134" s="422"/>
      <c r="T134" s="797"/>
      <c r="U134" s="797"/>
      <c r="V134" s="797"/>
      <c r="W134" s="797"/>
      <c r="X134" s="422"/>
      <c r="Y134" s="797"/>
      <c r="Z134" s="797"/>
      <c r="AA134" s="797"/>
      <c r="AB134" s="797"/>
      <c r="AC134" s="422"/>
      <c r="AD134" s="797"/>
      <c r="AE134" s="797"/>
      <c r="AF134" s="797"/>
      <c r="AG134" s="797"/>
      <c r="AH134" s="422"/>
      <c r="AI134" s="422"/>
      <c r="AJ134" s="424"/>
      <c r="AK134" s="389"/>
      <c r="AL134" s="389"/>
      <c r="AM134" s="389"/>
      <c r="AN134" s="384"/>
      <c r="AO134" s="385">
        <f>Application!B740</f>
        <v>0</v>
      </c>
      <c r="AQ134" s="385">
        <f>Application!O740</f>
        <v>0</v>
      </c>
      <c r="AU134" s="800"/>
      <c r="AV134" s="800"/>
      <c r="AW134" s="801"/>
      <c r="AX134" s="801"/>
      <c r="AY134" s="800"/>
      <c r="AZ134" s="800"/>
    </row>
    <row r="135" spans="1:52" s="385" customFormat="1" ht="12.75" customHeight="1">
      <c r="A135" s="389"/>
      <c r="B135" s="388"/>
      <c r="C135" s="389"/>
      <c r="D135" s="389"/>
      <c r="E135" s="799" t="s">
        <v>2185</v>
      </c>
      <c r="F135" s="797"/>
      <c r="G135" s="797"/>
      <c r="H135" s="797"/>
      <c r="I135" s="422"/>
      <c r="J135" s="797"/>
      <c r="K135" s="797"/>
      <c r="L135" s="797"/>
      <c r="M135" s="797"/>
      <c r="N135" s="422"/>
      <c r="O135" s="797"/>
      <c r="P135" s="797"/>
      <c r="Q135" s="797"/>
      <c r="R135" s="797"/>
      <c r="S135" s="422"/>
      <c r="T135" s="797"/>
      <c r="U135" s="797"/>
      <c r="V135" s="797"/>
      <c r="W135" s="797"/>
      <c r="X135" s="422"/>
      <c r="Y135" s="797"/>
      <c r="Z135" s="797"/>
      <c r="AA135" s="797"/>
      <c r="AB135" s="797"/>
      <c r="AC135" s="422"/>
      <c r="AD135" s="797"/>
      <c r="AE135" s="797"/>
      <c r="AF135" s="797"/>
      <c r="AG135" s="797"/>
      <c r="AH135" s="422"/>
      <c r="AI135" s="422"/>
      <c r="AJ135" s="424"/>
      <c r="AK135" s="389"/>
      <c r="AL135" s="389"/>
      <c r="AM135" s="389"/>
      <c r="AN135" s="384"/>
      <c r="AO135" s="385">
        <f>Application!B741</f>
        <v>0</v>
      </c>
      <c r="AQ135" s="385">
        <f>Application!O741</f>
        <v>0</v>
      </c>
      <c r="AU135" s="801"/>
      <c r="AV135" s="800"/>
      <c r="AW135" s="801"/>
      <c r="AX135" s="801"/>
      <c r="AY135" s="800"/>
      <c r="AZ135" s="800"/>
    </row>
    <row r="136" spans="1:52" s="385" customFormat="1" ht="12.75" customHeight="1">
      <c r="A136" s="389"/>
      <c r="B136" s="388"/>
      <c r="C136" s="389"/>
      <c r="D136" s="389"/>
      <c r="E136" s="2545" t="e">
        <f>IF(((E133-0.1)*AW116)&gt;0,((E133-0.1)*AW116),0)</f>
        <v>#DIV/0!</v>
      </c>
      <c r="F136" s="2546"/>
      <c r="G136" s="2546"/>
      <c r="H136" s="2547"/>
      <c r="I136" s="422"/>
      <c r="J136" s="2545">
        <f>IF(((J133-0.1)*AW117)&gt;0,((J133-0.1)*AW117),0)</f>
        <v>4.0166181257495291E-2</v>
      </c>
      <c r="K136" s="2546"/>
      <c r="L136" s="2546"/>
      <c r="M136" s="2547"/>
      <c r="N136" s="422"/>
      <c r="O136" s="2545">
        <f>IF(((O133-0.1)*AW118)&gt;0,((O133-0.1)*AW118),0)</f>
        <v>0.21467280775212347</v>
      </c>
      <c r="P136" s="2546"/>
      <c r="Q136" s="2546"/>
      <c r="R136" s="2547"/>
      <c r="S136" s="422"/>
      <c r="T136" s="2545">
        <f>IF(((T133-0.1)*AW119)&gt;0,((T133-0.1)*AW119),0)</f>
        <v>0.2321748639709805</v>
      </c>
      <c r="U136" s="2546"/>
      <c r="V136" s="2546"/>
      <c r="W136" s="2547"/>
      <c r="X136" s="422"/>
      <c r="Y136" s="2545" t="e">
        <f>IF(((Y133-0.1)*AW120)&gt;0,((Y133-0.1)*AW120),0)</f>
        <v>#DIV/0!</v>
      </c>
      <c r="Z136" s="2546"/>
      <c r="AA136" s="2546"/>
      <c r="AB136" s="2547"/>
      <c r="AC136" s="422"/>
      <c r="AD136" s="2545" t="e">
        <f>IF(((AD133-0.1)*AW121)&gt;0,((AD133-0.1)*AW121),0)</f>
        <v>#DIV/0!</v>
      </c>
      <c r="AE136" s="2546"/>
      <c r="AF136" s="2546"/>
      <c r="AG136" s="2547"/>
      <c r="AH136" s="422"/>
      <c r="AI136" s="422"/>
      <c r="AJ136" s="424"/>
      <c r="AK136" s="389"/>
      <c r="AL136" s="389"/>
      <c r="AM136" s="389"/>
      <c r="AN136" s="384"/>
      <c r="AO136" s="385">
        <f>Application!B752</f>
        <v>0</v>
      </c>
      <c r="AQ136" s="385">
        <f>Application!O752</f>
        <v>0</v>
      </c>
      <c r="AU136" s="800"/>
      <c r="AV136" s="800"/>
      <c r="AW136" s="800"/>
      <c r="AX136" s="801"/>
      <c r="AY136" s="800"/>
      <c r="AZ136" s="800"/>
    </row>
    <row r="137" spans="1:52" s="385" customFormat="1" ht="12.75" customHeight="1">
      <c r="A137" s="389"/>
      <c r="B137" s="388"/>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800"/>
      <c r="AV137" s="800"/>
      <c r="AW137" s="800"/>
      <c r="AX137" s="800"/>
      <c r="AY137" s="800"/>
      <c r="AZ137" s="800"/>
    </row>
    <row r="138" spans="1:52" s="385" customFormat="1" ht="12.75" customHeight="1">
      <c r="A138" s="389"/>
      <c r="B138" s="388"/>
      <c r="C138" s="389"/>
      <c r="D138" s="389"/>
      <c r="E138" s="2337">
        <f>ROUNDDOWN(SUMIF(E136:AG136,"&gt;0"),2)</f>
        <v>0.48</v>
      </c>
      <c r="F138" s="2338"/>
      <c r="G138" s="2338"/>
      <c r="H138" s="2339"/>
      <c r="I138" s="422"/>
      <c r="J138" s="425" t="s">
        <v>2186</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800"/>
      <c r="AV138" s="800"/>
      <c r="AW138" s="800"/>
      <c r="AX138" s="801"/>
      <c r="AY138" s="800"/>
      <c r="AZ138" s="800"/>
    </row>
    <row r="139" spans="1:52" s="385" customFormat="1" ht="12.75" customHeight="1">
      <c r="A139" s="389"/>
      <c r="B139" s="388"/>
      <c r="C139" s="389"/>
      <c r="D139" s="389"/>
      <c r="E139" s="2517">
        <f>IF((E138*100)&gt;10,10,E138*100)</f>
        <v>10</v>
      </c>
      <c r="F139" s="2518"/>
      <c r="G139" s="2518"/>
      <c r="H139" s="2519"/>
      <c r="I139" s="422"/>
      <c r="J139" s="425" t="s">
        <v>2165</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800"/>
      <c r="AV139" s="800"/>
      <c r="AW139" s="800"/>
      <c r="AX139" s="800"/>
      <c r="AY139" s="800"/>
      <c r="AZ139" s="800"/>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6"/>
      <c r="AU140" s="800"/>
      <c r="AV140" s="800"/>
      <c r="AW140" s="801"/>
      <c r="AX140" s="800"/>
      <c r="AY140" s="800"/>
      <c r="AZ140" s="800"/>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800"/>
      <c r="AV141" s="800"/>
      <c r="AW141" s="800"/>
      <c r="AX141" s="800"/>
      <c r="AY141" s="800"/>
      <c r="AZ141" s="800"/>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2187</v>
      </c>
      <c r="AK143" s="2517">
        <f>E139</f>
        <v>10</v>
      </c>
      <c r="AL143" s="2518"/>
      <c r="AM143" s="2519"/>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207"/>
      <c r="J145" s="1207"/>
      <c r="K145" s="1207"/>
      <c r="L145" s="1207"/>
      <c r="M145" s="1207"/>
      <c r="N145" s="1207"/>
      <c r="O145" s="1207"/>
      <c r="P145" s="1207"/>
      <c r="Q145" s="1207"/>
      <c r="R145" s="416"/>
      <c r="S145" s="388"/>
      <c r="T145" s="388"/>
      <c r="U145" s="388"/>
      <c r="V145" s="388"/>
      <c r="W145" s="388"/>
      <c r="X145" s="388"/>
      <c r="Y145" s="388"/>
      <c r="Z145" s="388"/>
      <c r="AA145" s="388"/>
      <c r="AB145" s="388"/>
      <c r="AC145" s="388"/>
      <c r="AD145" s="388"/>
      <c r="AE145" s="388"/>
      <c r="AF145" s="416"/>
      <c r="AG145" s="388"/>
      <c r="AH145" s="388"/>
      <c r="AI145" s="388"/>
      <c r="AJ145" s="388"/>
      <c r="AK145" s="398"/>
      <c r="AL145" s="398"/>
      <c r="AM145" s="398"/>
      <c r="AN145" s="384"/>
    </row>
    <row r="146" spans="1:42" s="388" customFormat="1" ht="12.75" customHeight="1">
      <c r="A146" s="387" t="s">
        <v>2188</v>
      </c>
      <c r="AE146" s="2391" t="s">
        <v>2145</v>
      </c>
      <c r="AF146" s="2391"/>
      <c r="AG146" s="2391"/>
      <c r="AH146" s="2391"/>
      <c r="AI146" s="2391"/>
      <c r="AJ146" s="2391"/>
      <c r="AK146" s="2391"/>
      <c r="AL146" s="1204"/>
      <c r="AN146" s="435"/>
      <c r="AO146" s="385"/>
    </row>
    <row r="147" spans="1:42" s="388" customFormat="1" ht="13" customHeight="1">
      <c r="A147" s="387"/>
      <c r="AE147" s="1204"/>
      <c r="AF147" s="1204"/>
      <c r="AG147" s="1204"/>
      <c r="AH147" s="1204"/>
      <c r="AI147" s="1204"/>
      <c r="AJ147" s="1204"/>
      <c r="AK147" s="1204"/>
      <c r="AL147" s="1204"/>
      <c r="AN147" s="435"/>
    </row>
    <row r="148" spans="1:42" s="385" customFormat="1" ht="12.75" customHeight="1">
      <c r="A148" s="387"/>
      <c r="B148" s="387" t="s">
        <v>2189</v>
      </c>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F148" s="2451" t="s">
        <v>2190</v>
      </c>
      <c r="AG148" s="2451"/>
      <c r="AH148" s="2451"/>
      <c r="AI148" s="2451"/>
      <c r="AJ148" s="2451"/>
      <c r="AK148" s="2451"/>
      <c r="AL148" s="2451"/>
      <c r="AM148" s="388"/>
      <c r="AN148" s="384"/>
    </row>
    <row r="149" spans="1:42" s="385" customFormat="1" ht="12.75" customHeight="1">
      <c r="A149" s="387"/>
      <c r="B149" s="387" t="s">
        <v>1086</v>
      </c>
      <c r="C149" s="1196"/>
      <c r="D149" s="1196"/>
      <c r="E149" s="1196"/>
      <c r="F149" s="1196"/>
      <c r="G149" s="1196"/>
      <c r="H149" s="1196"/>
      <c r="I149" s="1196"/>
      <c r="J149" s="1196"/>
      <c r="K149" s="1196"/>
      <c r="L149" s="1196"/>
      <c r="M149" s="1196"/>
      <c r="N149" s="1196"/>
      <c r="O149" s="1196"/>
      <c r="P149" s="1196"/>
      <c r="Q149" s="1196"/>
      <c r="R149" s="1196"/>
      <c r="S149" s="1196"/>
      <c r="T149" s="1196"/>
      <c r="U149" s="1196"/>
      <c r="V149" s="1196"/>
      <c r="W149" s="1196"/>
      <c r="X149" s="1196"/>
      <c r="Y149" s="1196"/>
      <c r="Z149" s="1196"/>
      <c r="AA149" s="1196"/>
      <c r="AB149" s="1196"/>
      <c r="AC149" s="1196"/>
      <c r="AD149" s="388"/>
      <c r="AL149" s="1193"/>
      <c r="AM149" s="388"/>
      <c r="AN149" s="384"/>
    </row>
    <row r="150" spans="1:42" s="385" customFormat="1" ht="15" customHeight="1">
      <c r="A150" s="387"/>
      <c r="B150" s="2521" t="s">
        <v>1087</v>
      </c>
      <c r="C150" s="2521"/>
      <c r="D150" s="2521"/>
      <c r="E150" s="2521"/>
      <c r="F150" s="2521"/>
      <c r="G150" s="2521"/>
      <c r="H150" s="2521"/>
      <c r="I150" s="2521"/>
      <c r="J150" s="2521"/>
      <c r="K150" s="2521"/>
      <c r="L150" s="2521"/>
      <c r="M150" s="2521"/>
      <c r="N150" s="2521"/>
      <c r="O150" s="2521"/>
      <c r="P150" s="2521"/>
      <c r="Q150" s="2521"/>
      <c r="R150" s="2521"/>
      <c r="S150" s="2521"/>
      <c r="T150" s="2521"/>
      <c r="U150" s="2521"/>
      <c r="V150" s="2521"/>
      <c r="W150" s="2521"/>
      <c r="X150" s="2521"/>
      <c r="Y150" s="2521"/>
      <c r="Z150" s="2521"/>
      <c r="AA150" s="2521"/>
      <c r="AB150" s="2521"/>
      <c r="AC150" s="2521"/>
      <c r="AD150" s="388"/>
      <c r="AE150" s="1193"/>
      <c r="AF150" s="1193"/>
      <c r="AG150" s="1193"/>
      <c r="AH150" s="1193"/>
      <c r="AI150" s="1193"/>
      <c r="AJ150" s="1193"/>
      <c r="AK150" s="1193"/>
      <c r="AL150" s="1193"/>
      <c r="AM150" s="388"/>
      <c r="AN150" s="384"/>
      <c r="AP150" s="437"/>
    </row>
    <row r="151" spans="1:42" s="385" customFormat="1" ht="12.75" customHeight="1">
      <c r="A151" s="387"/>
      <c r="B151" s="387"/>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1193"/>
      <c r="AF151" s="1193"/>
      <c r="AG151" s="1193"/>
      <c r="AH151" s="1193"/>
      <c r="AI151" s="1193"/>
      <c r="AJ151" s="1193"/>
      <c r="AK151" s="1193"/>
      <c r="AL151" s="1193"/>
      <c r="AM151" s="388"/>
      <c r="AN151" s="384"/>
      <c r="AO151" s="1139" t="s">
        <v>547</v>
      </c>
      <c r="AP151" s="393"/>
    </row>
    <row r="152" spans="1:42" s="385" customFormat="1" ht="12.75" customHeight="1">
      <c r="A152" s="387"/>
      <c r="B152" s="388" t="s">
        <v>2191</v>
      </c>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4"/>
      <c r="AO152" s="332" t="s">
        <v>2192</v>
      </c>
      <c r="AP152" s="342">
        <v>5</v>
      </c>
    </row>
    <row r="153" spans="1:42" s="385" customFormat="1" ht="12.75" customHeight="1">
      <c r="A153" s="387"/>
      <c r="B153" s="2522" t="s">
        <v>2193</v>
      </c>
      <c r="C153" s="2522"/>
      <c r="D153" s="2522"/>
      <c r="E153" s="2522"/>
      <c r="F153" s="2522"/>
      <c r="G153" s="2522"/>
      <c r="H153" s="2522"/>
      <c r="I153" s="2522"/>
      <c r="J153" s="2522"/>
      <c r="K153" s="2522"/>
      <c r="L153" s="2522"/>
      <c r="M153" s="2522"/>
      <c r="N153" s="2522"/>
      <c r="O153" s="2522"/>
      <c r="P153" s="2522"/>
      <c r="Q153" s="2522"/>
      <c r="R153" s="2522"/>
      <c r="S153" s="2522"/>
      <c r="T153" s="2522"/>
      <c r="U153" s="2522"/>
      <c r="V153" s="2522"/>
      <c r="W153" s="2522"/>
      <c r="X153" s="2522"/>
      <c r="Y153" s="2522"/>
      <c r="Z153" s="2522"/>
      <c r="AA153" s="2522"/>
      <c r="AB153" s="2522"/>
      <c r="AC153" s="2522"/>
      <c r="AD153" s="2522"/>
      <c r="AE153" s="2522"/>
      <c r="AF153" s="2522"/>
      <c r="AG153" s="2522"/>
      <c r="AH153" s="2522"/>
      <c r="AI153" s="2522"/>
      <c r="AM153" s="388"/>
      <c r="AN153" s="384"/>
      <c r="AO153" s="332" t="s">
        <v>2193</v>
      </c>
      <c r="AP153" s="342">
        <v>7</v>
      </c>
    </row>
    <row r="154" spans="1:42" s="385" customFormat="1" ht="13" customHeight="1">
      <c r="A154" s="387"/>
      <c r="B154" s="1196"/>
      <c r="C154" s="1196"/>
      <c r="D154" s="1196"/>
      <c r="E154" s="1196"/>
      <c r="F154" s="1196"/>
      <c r="G154" s="1196"/>
      <c r="H154" s="1196"/>
      <c r="I154" s="1196"/>
      <c r="J154" s="1196"/>
      <c r="K154" s="1196"/>
      <c r="L154" s="1196"/>
      <c r="M154" s="1196"/>
      <c r="N154" s="1196"/>
      <c r="O154" s="1196"/>
      <c r="P154" s="1196"/>
      <c r="Q154" s="1196"/>
      <c r="R154" s="1196"/>
      <c r="S154" s="1196"/>
      <c r="T154" s="1196"/>
      <c r="U154" s="1196"/>
      <c r="V154" s="1196"/>
      <c r="W154" s="1196"/>
      <c r="X154" s="1196"/>
      <c r="Y154" s="1196"/>
      <c r="Z154" s="1196"/>
      <c r="AA154" s="1196"/>
      <c r="AB154" s="1196"/>
      <c r="AC154" s="1196"/>
      <c r="AD154" s="1204"/>
      <c r="AM154" s="388"/>
      <c r="AN154" s="384"/>
      <c r="AO154" s="332" t="s">
        <v>2194</v>
      </c>
      <c r="AP154" s="342">
        <v>7</v>
      </c>
    </row>
    <row r="155" spans="1:42" s="385" customFormat="1" ht="12.75" customHeight="1">
      <c r="A155" s="387"/>
      <c r="B155" s="388" t="s">
        <v>2195</v>
      </c>
      <c r="AB155" s="2323" t="s">
        <v>798</v>
      </c>
      <c r="AC155" s="2323"/>
      <c r="AD155" s="1204"/>
      <c r="AM155" s="388"/>
      <c r="AN155" s="384"/>
      <c r="AO155" s="332"/>
      <c r="AP155" s="332"/>
    </row>
    <row r="156" spans="1:42" s="385" customFormat="1" ht="9" customHeight="1">
      <c r="A156" s="387"/>
      <c r="B156" s="1196"/>
      <c r="C156" s="1196"/>
      <c r="D156" s="1196"/>
      <c r="E156" s="1196"/>
      <c r="F156" s="1196"/>
      <c r="G156" s="1196"/>
      <c r="H156" s="1196"/>
      <c r="I156" s="1196"/>
      <c r="J156" s="1196"/>
      <c r="K156" s="1196"/>
      <c r="L156" s="1196"/>
      <c r="M156" s="1196"/>
      <c r="N156" s="1196"/>
      <c r="O156" s="1196"/>
      <c r="P156" s="1196"/>
      <c r="Q156" s="1196"/>
      <c r="R156" s="1196"/>
      <c r="S156" s="1196"/>
      <c r="T156" s="1196"/>
      <c r="U156" s="1196"/>
      <c r="V156" s="1196"/>
      <c r="W156" s="1196"/>
      <c r="X156" s="1196"/>
      <c r="Y156" s="1196"/>
      <c r="Z156" s="1196"/>
      <c r="AA156" s="1196"/>
      <c r="AB156" s="1196"/>
      <c r="AC156" s="1196"/>
      <c r="AD156" s="1204"/>
      <c r="AM156" s="388"/>
      <c r="AN156" s="384"/>
      <c r="AO156" s="1139" t="s">
        <v>2196</v>
      </c>
      <c r="AP156" s="342"/>
    </row>
    <row r="157" spans="1:42" s="385" customFormat="1" ht="12.75" customHeight="1">
      <c r="A157" s="387"/>
      <c r="B157" s="387" t="s">
        <v>2197</v>
      </c>
      <c r="C157" s="1196"/>
      <c r="D157" s="1196"/>
      <c r="E157" s="1196"/>
      <c r="F157" s="1196"/>
      <c r="G157" s="1196"/>
      <c r="H157" s="1196"/>
      <c r="I157" s="1196"/>
      <c r="J157" s="1196"/>
      <c r="K157" s="1196"/>
      <c r="L157" s="1196"/>
      <c r="M157" s="1196"/>
      <c r="N157" s="1196"/>
      <c r="O157" s="1196"/>
      <c r="P157" s="1196"/>
      <c r="Q157" s="1196"/>
      <c r="R157" s="1196"/>
      <c r="S157" s="1196"/>
      <c r="T157" s="1196"/>
      <c r="U157" s="1196"/>
      <c r="V157" s="1196"/>
      <c r="W157" s="1196"/>
      <c r="X157" s="1196"/>
      <c r="Y157" s="1196"/>
      <c r="Z157" s="1196"/>
      <c r="AA157" s="1196"/>
      <c r="AB157" s="1196"/>
      <c r="AC157" s="1196"/>
      <c r="AD157" s="1204"/>
      <c r="AM157" s="388"/>
      <c r="AN157" s="384"/>
      <c r="AO157" s="332" t="s">
        <v>2198</v>
      </c>
      <c r="AP157" s="342">
        <v>5</v>
      </c>
    </row>
    <row r="158" spans="1:42" s="385" customFormat="1" ht="12.75" customHeight="1">
      <c r="A158" s="387"/>
      <c r="B158" s="2522" t="s">
        <v>2196</v>
      </c>
      <c r="C158" s="2522"/>
      <c r="D158" s="2522"/>
      <c r="E158" s="2522"/>
      <c r="F158" s="2522"/>
      <c r="G158" s="2522"/>
      <c r="H158" s="2522"/>
      <c r="I158" s="2522"/>
      <c r="J158" s="2522"/>
      <c r="K158" s="2522"/>
      <c r="L158" s="2522"/>
      <c r="M158" s="2522"/>
      <c r="N158" s="2522"/>
      <c r="O158" s="2522"/>
      <c r="P158" s="2522"/>
      <c r="Q158" s="2522"/>
      <c r="R158" s="2522"/>
      <c r="S158" s="2522"/>
      <c r="T158" s="2522"/>
      <c r="U158" s="2522"/>
      <c r="V158" s="2522"/>
      <c r="W158" s="2522"/>
      <c r="X158" s="2522"/>
      <c r="Y158" s="2522"/>
      <c r="Z158" s="2522"/>
      <c r="AA158" s="2522"/>
      <c r="AB158" s="2522"/>
      <c r="AC158" s="2522"/>
      <c r="AD158" s="2522"/>
      <c r="AE158" s="2522"/>
      <c r="AF158" s="2522"/>
      <c r="AG158" s="2522"/>
      <c r="AH158" s="2522"/>
      <c r="AI158" s="2522"/>
      <c r="AJ158" s="2522"/>
      <c r="AN158" s="384"/>
      <c r="AO158" s="332" t="s">
        <v>2199</v>
      </c>
      <c r="AP158" s="342">
        <v>7</v>
      </c>
    </row>
    <row r="159" spans="1:42" s="385" customFormat="1" ht="12.75" customHeight="1">
      <c r="B159" s="388" t="s">
        <v>2200</v>
      </c>
      <c r="C159" s="1196"/>
      <c r="D159" s="1196"/>
      <c r="E159" s="1196"/>
      <c r="F159" s="1196"/>
      <c r="G159" s="1196"/>
      <c r="H159" s="1196"/>
      <c r="I159" s="1196"/>
      <c r="J159" s="1196"/>
      <c r="K159" s="1196"/>
      <c r="L159" s="1196"/>
      <c r="M159" s="1196"/>
      <c r="N159" s="1196"/>
      <c r="O159" s="1196"/>
      <c r="P159" s="1196"/>
      <c r="Q159" s="1196"/>
      <c r="R159" s="1196"/>
      <c r="S159" s="1196"/>
      <c r="T159" s="1196"/>
      <c r="U159" s="1196"/>
      <c r="AM159" s="388"/>
      <c r="AN159" s="384"/>
      <c r="AO159" s="332"/>
      <c r="AP159" s="342"/>
    </row>
    <row r="160" spans="1:42" s="385" customFormat="1" ht="12.75" customHeight="1">
      <c r="B160" s="388"/>
      <c r="C160" s="1196"/>
      <c r="D160" s="1196"/>
      <c r="E160" s="1196"/>
      <c r="F160" s="1196"/>
      <c r="G160" s="1196"/>
      <c r="H160" s="1196"/>
      <c r="I160" s="1196"/>
      <c r="J160" s="1196"/>
      <c r="K160" s="1196"/>
      <c r="L160" s="1196"/>
      <c r="M160" s="1196"/>
      <c r="N160" s="1196"/>
      <c r="O160" s="1196"/>
      <c r="P160" s="1196"/>
      <c r="Q160" s="1196"/>
      <c r="R160" s="1196"/>
      <c r="S160" s="1196"/>
      <c r="T160" s="1196"/>
      <c r="U160" s="1196"/>
      <c r="AM160" s="388"/>
      <c r="AN160" s="384"/>
      <c r="AO160" s="332"/>
      <c r="AP160" s="342"/>
    </row>
    <row r="161" spans="1:42" s="385" customFormat="1" ht="12.75" customHeight="1">
      <c r="B161" s="2320" t="s">
        <v>2201</v>
      </c>
      <c r="C161" s="2320"/>
      <c r="D161" s="2320"/>
      <c r="E161" s="2320"/>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D161" s="2320"/>
      <c r="AE161" s="2320"/>
      <c r="AF161" s="2320"/>
      <c r="AG161" s="2320"/>
      <c r="AH161" s="2320"/>
      <c r="AI161" s="2320"/>
      <c r="AJ161" s="2320"/>
      <c r="AK161" s="961"/>
      <c r="AM161" s="388"/>
      <c r="AN161" s="384"/>
      <c r="AO161" s="332"/>
      <c r="AP161" s="342"/>
    </row>
    <row r="162" spans="1:42" s="385" customFormat="1" ht="12.75" customHeight="1">
      <c r="B162" s="2320"/>
      <c r="C162" s="2320"/>
      <c r="D162" s="2320"/>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D162" s="2320"/>
      <c r="AE162" s="2320"/>
      <c r="AF162" s="2320"/>
      <c r="AG162" s="2320"/>
      <c r="AH162" s="2320"/>
      <c r="AI162" s="2320"/>
      <c r="AJ162" s="2320"/>
      <c r="AK162" s="961"/>
      <c r="AM162" s="388"/>
      <c r="AN162" s="384"/>
      <c r="AO162" s="332"/>
      <c r="AP162" s="342"/>
    </row>
    <row r="163" spans="1:42" s="385" customFormat="1" ht="12.75" customHeight="1">
      <c r="C163" s="2321" t="s">
        <v>2202</v>
      </c>
      <c r="D163" s="2321"/>
      <c r="E163" s="2321"/>
      <c r="F163" s="2321"/>
      <c r="G163" s="2321"/>
      <c r="H163" s="2321"/>
      <c r="I163" s="2321"/>
      <c r="J163" s="2321"/>
      <c r="K163" s="2321"/>
      <c r="L163" s="2321"/>
      <c r="M163" s="2321"/>
      <c r="N163" s="2321"/>
      <c r="O163" s="2321"/>
      <c r="P163" s="2321"/>
      <c r="Q163" s="2321"/>
      <c r="R163" s="2321"/>
      <c r="S163" s="2321"/>
      <c r="T163" s="2321"/>
      <c r="U163" s="2321"/>
      <c r="V163" s="2321"/>
      <c r="W163" s="2321"/>
      <c r="X163" s="2321"/>
      <c r="Y163" s="2321"/>
      <c r="Z163" s="2321"/>
      <c r="AA163" s="2321"/>
      <c r="AB163" s="2321"/>
      <c r="AC163" s="2321"/>
      <c r="AD163" s="2321"/>
      <c r="AE163" s="2321"/>
      <c r="AF163" s="2321"/>
      <c r="AG163" s="2321"/>
      <c r="AH163" s="2321"/>
      <c r="AI163" s="2321"/>
      <c r="AJ163" s="2321"/>
      <c r="AK163" s="961"/>
      <c r="AM163" s="388"/>
      <c r="AN163" s="384"/>
      <c r="AO163" s="332"/>
      <c r="AP163" s="342"/>
    </row>
    <row r="164" spans="1:42" s="385" customFormat="1" ht="12.75" customHeight="1">
      <c r="B164" s="961"/>
      <c r="C164" s="2322" t="s">
        <v>2203</v>
      </c>
      <c r="D164" s="2322"/>
      <c r="E164" s="2322"/>
      <c r="F164" s="2322"/>
      <c r="G164" s="2322"/>
      <c r="H164" s="2322"/>
      <c r="I164" s="2322"/>
      <c r="J164" s="2322"/>
      <c r="K164" s="2322"/>
      <c r="L164" s="2322"/>
      <c r="M164" s="2322"/>
      <c r="N164" s="2322"/>
      <c r="O164" s="2322"/>
      <c r="P164" s="2322"/>
      <c r="Q164" s="2322"/>
      <c r="R164" s="2322"/>
      <c r="S164" s="2322"/>
      <c r="T164" s="2322"/>
      <c r="U164" s="2322"/>
      <c r="V164" s="2322"/>
      <c r="W164" s="2322"/>
      <c r="X164" s="2322"/>
      <c r="Y164" s="2322"/>
      <c r="Z164" s="2322"/>
      <c r="AA164" s="1211"/>
      <c r="AB164" s="1211"/>
      <c r="AC164" s="1211"/>
      <c r="AD164" s="1211"/>
      <c r="AE164" s="1211"/>
      <c r="AF164" s="1211"/>
      <c r="AG164" s="1211"/>
      <c r="AH164" s="1211"/>
      <c r="AJ164" s="2323" t="s">
        <v>798</v>
      </c>
      <c r="AK164" s="2323"/>
      <c r="AM164" s="388"/>
      <c r="AN164" s="384"/>
      <c r="AO164" s="332"/>
      <c r="AP164" s="342"/>
    </row>
    <row r="165" spans="1:42" s="385" customFormat="1" ht="12.75" customHeight="1">
      <c r="AM165" s="388"/>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2204</v>
      </c>
      <c r="AJ166" s="2411">
        <f>IF($AB$155="N/A",VLOOKUP($B$153,$AO$151:$AP$154,2,FALSE),VLOOKUP($B$158,$AO$156:$AP$158,2,FALSE))</f>
        <v>7</v>
      </c>
      <c r="AK166" s="2411"/>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2205</v>
      </c>
      <c r="C168" s="388"/>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2451" t="s">
        <v>2206</v>
      </c>
      <c r="AG168" s="2451"/>
      <c r="AH168" s="2451"/>
      <c r="AI168" s="2451"/>
      <c r="AJ168" s="2451"/>
      <c r="AK168" s="2451"/>
      <c r="AL168" s="2451"/>
      <c r="AM168" s="445"/>
      <c r="AN168" s="440"/>
    </row>
    <row r="169" spans="1:42" s="398" customFormat="1" ht="12.75" customHeight="1">
      <c r="A169" s="385"/>
      <c r="B169" s="388" t="s">
        <v>2207</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8"/>
      <c r="AB169" s="388"/>
      <c r="AC169" s="388"/>
      <c r="AD169" s="388"/>
      <c r="AE169" s="385"/>
      <c r="AF169" s="385"/>
      <c r="AG169" s="385"/>
      <c r="AH169" s="385"/>
      <c r="AI169" s="385"/>
      <c r="AJ169" s="385"/>
      <c r="AK169" s="385"/>
      <c r="AL169" s="385"/>
      <c r="AM169" s="445"/>
      <c r="AN169" s="440"/>
    </row>
    <row r="170" spans="1:42" s="398" customFormat="1" ht="12.75" customHeight="1">
      <c r="A170" s="385"/>
      <c r="B170" s="385"/>
      <c r="C170" s="2522" t="s">
        <v>2208</v>
      </c>
      <c r="D170" s="2522"/>
      <c r="E170" s="2522"/>
      <c r="F170" s="2522"/>
      <c r="G170" s="2522"/>
      <c r="H170" s="2522"/>
      <c r="I170" s="2522"/>
      <c r="J170" s="2522"/>
      <c r="K170" s="2522"/>
      <c r="L170" s="2522"/>
      <c r="M170" s="2522"/>
      <c r="N170" s="2522"/>
      <c r="O170" s="2522"/>
      <c r="P170" s="2522"/>
      <c r="Q170" s="2522"/>
      <c r="R170" s="2522"/>
      <c r="S170" s="2522"/>
      <c r="T170" s="2522"/>
      <c r="U170" s="2522"/>
      <c r="V170" s="2522"/>
      <c r="W170" s="2522"/>
      <c r="X170" s="2522"/>
      <c r="Y170" s="2522"/>
      <c r="Z170" s="2522"/>
      <c r="AA170" s="2522"/>
      <c r="AB170" s="2522"/>
      <c r="AC170" s="2522"/>
      <c r="AD170" s="2522"/>
      <c r="AE170" s="2522"/>
      <c r="AF170" s="2522"/>
      <c r="AG170" s="2522"/>
      <c r="AH170" s="2522"/>
      <c r="AI170" s="2522"/>
      <c r="AJ170" s="385"/>
      <c r="AK170" s="385"/>
      <c r="AL170" s="385"/>
      <c r="AM170" s="445"/>
      <c r="AN170" s="439"/>
      <c r="AO170" s="332" t="s">
        <v>547</v>
      </c>
      <c r="AP170" s="332"/>
    </row>
    <row r="171" spans="1:42" s="398" customFormat="1" ht="13" customHeight="1">
      <c r="A171" s="385"/>
      <c r="B171" s="385"/>
      <c r="C171" s="1196"/>
      <c r="D171" s="1196"/>
      <c r="E171" s="1196"/>
      <c r="F171" s="1196"/>
      <c r="G171" s="1196"/>
      <c r="H171" s="1196"/>
      <c r="I171" s="1196"/>
      <c r="J171" s="1196"/>
      <c r="K171" s="1196"/>
      <c r="L171" s="1196"/>
      <c r="M171" s="1196"/>
      <c r="N171" s="1196"/>
      <c r="O171" s="1196"/>
      <c r="P171" s="1196"/>
      <c r="Q171" s="1196"/>
      <c r="R171" s="1196"/>
      <c r="S171" s="1196"/>
      <c r="T171" s="1196"/>
      <c r="U171" s="1196"/>
      <c r="V171" s="1196"/>
      <c r="W171" s="1196"/>
      <c r="X171" s="1196"/>
      <c r="Y171" s="1196"/>
      <c r="Z171" s="1196"/>
      <c r="AA171" s="1196"/>
      <c r="AB171" s="1196"/>
      <c r="AC171" s="1196"/>
      <c r="AD171" s="1196"/>
      <c r="AE171" s="385"/>
      <c r="AF171" s="385"/>
      <c r="AG171" s="385"/>
      <c r="AH171" s="385"/>
      <c r="AI171" s="385"/>
      <c r="AJ171" s="385"/>
      <c r="AK171" s="385"/>
      <c r="AL171" s="385"/>
      <c r="AM171" s="445"/>
      <c r="AN171" s="439"/>
      <c r="AO171" s="332" t="s">
        <v>2209</v>
      </c>
      <c r="AP171" s="441">
        <v>2</v>
      </c>
    </row>
    <row r="172" spans="1:42" s="398" customFormat="1" ht="12.75" customHeight="1">
      <c r="A172" s="385"/>
      <c r="B172" s="385"/>
      <c r="C172" s="388" t="s">
        <v>2210</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2323" t="s">
        <v>798</v>
      </c>
      <c r="AG172" s="2323"/>
      <c r="AH172" s="385"/>
      <c r="AI172" s="385"/>
      <c r="AJ172" s="385"/>
      <c r="AK172" s="385"/>
      <c r="AL172" s="385"/>
      <c r="AM172" s="445"/>
      <c r="AN172" s="439"/>
      <c r="AO172" s="332" t="s">
        <v>2208</v>
      </c>
      <c r="AP172" s="441">
        <v>3</v>
      </c>
    </row>
    <row r="173" spans="1:42" s="398" customFormat="1" ht="9" customHeight="1">
      <c r="A173" s="385"/>
      <c r="B173" s="385"/>
      <c r="C173" s="1196"/>
      <c r="D173" s="1196"/>
      <c r="E173" s="1196"/>
      <c r="F173" s="1196"/>
      <c r="G173" s="1196"/>
      <c r="H173" s="1196"/>
      <c r="I173" s="1196"/>
      <c r="J173" s="1196"/>
      <c r="K173" s="1196"/>
      <c r="L173" s="1196"/>
      <c r="M173" s="1196"/>
      <c r="N173" s="1196"/>
      <c r="O173" s="1196"/>
      <c r="P173" s="1196"/>
      <c r="Q173" s="1196"/>
      <c r="R173" s="1196"/>
      <c r="S173" s="1196"/>
      <c r="T173" s="1196"/>
      <c r="U173" s="1196"/>
      <c r="V173" s="1196"/>
      <c r="W173" s="1196"/>
      <c r="X173" s="1196"/>
      <c r="Y173" s="1196"/>
      <c r="Z173" s="1196"/>
      <c r="AA173" s="1196"/>
      <c r="AB173" s="1196"/>
      <c r="AC173" s="1196"/>
      <c r="AD173" s="1196"/>
      <c r="AE173" s="385"/>
      <c r="AF173" s="385"/>
      <c r="AG173" s="385"/>
      <c r="AJ173" s="385"/>
      <c r="AK173" s="385"/>
      <c r="AL173" s="385"/>
      <c r="AM173" s="445"/>
      <c r="AN173" s="439"/>
      <c r="AO173" s="444" t="s">
        <v>2211</v>
      </c>
      <c r="AP173" s="441">
        <v>3</v>
      </c>
    </row>
    <row r="174" spans="1:42" s="398" customFormat="1" ht="12.75" customHeight="1">
      <c r="A174" s="385"/>
      <c r="B174" s="385"/>
      <c r="C174" s="2522" t="s">
        <v>2196</v>
      </c>
      <c r="D174" s="2522"/>
      <c r="E174" s="2522"/>
      <c r="F174" s="2522"/>
      <c r="G174" s="2522"/>
      <c r="H174" s="2522"/>
      <c r="I174" s="2522"/>
      <c r="J174" s="2522"/>
      <c r="K174" s="2522"/>
      <c r="L174" s="2522"/>
      <c r="M174" s="2522"/>
      <c r="N174" s="2522"/>
      <c r="O174" s="2522"/>
      <c r="P174" s="2522"/>
      <c r="Q174" s="2522"/>
      <c r="R174" s="2522"/>
      <c r="S174" s="2522"/>
      <c r="T174" s="2522"/>
      <c r="U174" s="2522"/>
      <c r="V174" s="2522"/>
      <c r="W174" s="2522"/>
      <c r="X174" s="2522"/>
      <c r="Y174" s="2522"/>
      <c r="Z174" s="2522"/>
      <c r="AA174" s="2522"/>
      <c r="AB174" s="2522"/>
      <c r="AC174" s="2522"/>
      <c r="AD174" s="2522"/>
      <c r="AE174" s="385"/>
      <c r="AF174" s="385"/>
      <c r="AG174" s="385"/>
      <c r="AH174" s="385"/>
      <c r="AI174" s="385"/>
      <c r="AJ174" s="385"/>
      <c r="AK174" s="385"/>
      <c r="AL174" s="385"/>
      <c r="AM174" s="445"/>
      <c r="AN174" s="439"/>
      <c r="AO174" s="444"/>
      <c r="AP174" s="441"/>
    </row>
    <row r="175" spans="1:42" s="398" customFormat="1" ht="12.75" customHeight="1">
      <c r="A175" s="385"/>
      <c r="B175" s="385"/>
      <c r="C175" s="388" t="s">
        <v>2200</v>
      </c>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388"/>
      <c r="AK175" s="388"/>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2212</v>
      </c>
      <c r="D177" s="1196"/>
      <c r="E177" s="1196"/>
      <c r="F177" s="1196"/>
      <c r="G177" s="1196"/>
      <c r="H177" s="1196"/>
      <c r="I177" s="1196"/>
      <c r="J177" s="1196"/>
      <c r="K177" s="1196"/>
      <c r="L177" s="1196"/>
      <c r="M177" s="1196"/>
      <c r="N177" s="1196"/>
      <c r="O177" s="1196"/>
      <c r="P177" s="1196"/>
      <c r="Q177" s="1196"/>
      <c r="R177" s="1196"/>
      <c r="S177" s="1196"/>
      <c r="T177" s="1196"/>
      <c r="U177" s="1196"/>
      <c r="V177" s="1196"/>
      <c r="W177" s="1196"/>
      <c r="X177" s="1196"/>
      <c r="Y177" s="1196"/>
      <c r="Z177" s="1196"/>
      <c r="AA177" s="1196"/>
      <c r="AB177" s="1196"/>
      <c r="AC177" s="1196"/>
      <c r="AD177" s="1196"/>
      <c r="AE177" s="385"/>
      <c r="AF177" s="385"/>
      <c r="AG177" s="385"/>
      <c r="AH177" s="385"/>
      <c r="AI177" s="385"/>
      <c r="AJ177" s="385"/>
      <c r="AK177" s="385"/>
      <c r="AL177" s="385"/>
      <c r="AM177" s="445"/>
      <c r="AN177" s="439"/>
      <c r="AO177" s="332" t="s">
        <v>2196</v>
      </c>
      <c r="AP177" s="332"/>
    </row>
    <row r="178" spans="1:73" s="398" customFormat="1" ht="12.75" customHeight="1">
      <c r="A178" s="385"/>
      <c r="B178" s="385"/>
      <c r="C178" s="2523" t="str">
        <f>Application!AA335</f>
        <v>Cambridge Real Estate Services, Inc.</v>
      </c>
      <c r="D178" s="2523"/>
      <c r="E178" s="2523"/>
      <c r="F178" s="2523"/>
      <c r="G178" s="2523"/>
      <c r="H178" s="2523"/>
      <c r="I178" s="2523"/>
      <c r="J178" s="2523"/>
      <c r="K178" s="2523"/>
      <c r="L178" s="2523"/>
      <c r="M178" s="2523"/>
      <c r="N178" s="2523"/>
      <c r="O178" s="2523"/>
      <c r="P178" s="2523"/>
      <c r="Q178" s="2523"/>
      <c r="R178" s="2523"/>
      <c r="S178" s="2523"/>
      <c r="T178" s="2523"/>
      <c r="U178" s="2523"/>
      <c r="V178" s="2523"/>
      <c r="W178" s="2523"/>
      <c r="X178" s="2523"/>
      <c r="Y178" s="2523"/>
      <c r="Z178" s="2523"/>
      <c r="AA178" s="2523"/>
      <c r="AB178" s="2523"/>
      <c r="AC178" s="2523"/>
      <c r="AD178" s="2523"/>
      <c r="AE178" s="385"/>
      <c r="AF178" s="385"/>
      <c r="AG178" s="385"/>
      <c r="AH178" s="385"/>
      <c r="AI178" s="385"/>
      <c r="AJ178" s="385"/>
      <c r="AK178" s="385"/>
      <c r="AL178" s="385"/>
      <c r="AM178" s="445"/>
      <c r="AN178" s="439"/>
      <c r="AO178" s="332" t="s">
        <v>2213</v>
      </c>
      <c r="AP178" s="441">
        <v>2</v>
      </c>
    </row>
    <row r="179" spans="1:73" s="398" customFormat="1" ht="12.75" customHeight="1">
      <c r="A179" s="385"/>
      <c r="B179" s="385"/>
      <c r="C179" s="1196"/>
      <c r="D179" s="1196"/>
      <c r="E179" s="1196"/>
      <c r="F179" s="1196"/>
      <c r="G179" s="1196"/>
      <c r="H179" s="1196"/>
      <c r="I179" s="1196"/>
      <c r="J179" s="1196"/>
      <c r="K179" s="1196"/>
      <c r="L179" s="1196"/>
      <c r="M179" s="1196"/>
      <c r="N179" s="1196"/>
      <c r="O179" s="1196"/>
      <c r="P179" s="1196"/>
      <c r="Q179" s="1196"/>
      <c r="R179" s="1196"/>
      <c r="S179" s="1196"/>
      <c r="T179" s="1196"/>
      <c r="U179" s="1196"/>
      <c r="V179" s="1196"/>
      <c r="W179" s="1196"/>
      <c r="X179" s="1196"/>
      <c r="Y179" s="1196"/>
      <c r="Z179" s="1196"/>
      <c r="AA179" s="1196"/>
      <c r="AB179" s="1196"/>
      <c r="AC179" s="1196"/>
      <c r="AD179" s="1196"/>
      <c r="AE179" s="385"/>
      <c r="AF179" s="385"/>
      <c r="AG179" s="385"/>
      <c r="AH179" s="385"/>
      <c r="AI179" s="385"/>
      <c r="AJ179" s="385"/>
      <c r="AK179" s="385"/>
      <c r="AL179" s="385"/>
      <c r="AM179" s="445"/>
      <c r="AN179" s="439"/>
      <c r="AO179" s="332" t="s">
        <v>2214</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2215</v>
      </c>
      <c r="AJ180" s="2410">
        <f>IF($AF$172="N/A",VLOOKUP($C$170,$AO$170:$AP$173,2,FALSE),VLOOKUP($C$174,$AO$177:$AP$179,2,FALSE))</f>
        <v>3</v>
      </c>
      <c r="AK180" s="2410"/>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2216</v>
      </c>
      <c r="AK183" s="2517">
        <f>$AJ$166+$AJ$180</f>
        <v>10</v>
      </c>
      <c r="AL183" s="2518"/>
      <c r="AM183" s="2519"/>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207"/>
      <c r="J185" s="1207"/>
      <c r="K185" s="1207"/>
      <c r="L185" s="1207"/>
      <c r="M185" s="1207"/>
      <c r="N185" s="1207"/>
      <c r="O185" s="1207"/>
      <c r="P185" s="1207"/>
      <c r="Q185" s="1207"/>
      <c r="R185" s="416"/>
      <c r="S185" s="388"/>
      <c r="T185" s="388"/>
      <c r="U185" s="388"/>
      <c r="V185" s="388"/>
      <c r="W185" s="388"/>
      <c r="X185" s="388"/>
      <c r="Y185" s="388"/>
      <c r="Z185" s="388"/>
      <c r="AA185" s="388"/>
      <c r="AB185" s="388"/>
      <c r="AC185" s="388"/>
      <c r="AD185" s="388"/>
      <c r="AE185" s="388"/>
      <c r="AF185" s="416"/>
      <c r="AG185" s="388"/>
      <c r="AH185" s="388"/>
      <c r="AI185" s="388"/>
      <c r="AJ185" s="388"/>
      <c r="AN185" s="439"/>
      <c r="AP185" s="453" t="s">
        <v>2217</v>
      </c>
      <c r="AQ185" s="453">
        <v>0</v>
      </c>
    </row>
    <row r="186" spans="1:73" s="398" customFormat="1" ht="12.75" customHeight="1">
      <c r="A186" s="387" t="s">
        <v>2218</v>
      </c>
      <c r="B186" s="387" t="s">
        <v>2219</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214"/>
      <c r="Z186" s="1214"/>
      <c r="AA186" s="1214"/>
      <c r="AB186" s="1214"/>
      <c r="AC186" s="385"/>
      <c r="AD186" s="385"/>
      <c r="AE186" s="2391" t="s">
        <v>2145</v>
      </c>
      <c r="AF186" s="2391"/>
      <c r="AG186" s="2391"/>
      <c r="AH186" s="2391"/>
      <c r="AI186" s="2391"/>
      <c r="AJ186" s="2391"/>
      <c r="AK186" s="2391"/>
      <c r="AL186" s="1204"/>
      <c r="AN186" s="439"/>
      <c r="AP186" s="398" t="s">
        <v>940</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214"/>
      <c r="S187" s="1214"/>
      <c r="T187" s="1214"/>
      <c r="U187" s="1214"/>
      <c r="V187" s="1214"/>
      <c r="W187" s="1214"/>
      <c r="X187" s="1214"/>
      <c r="Y187" s="1214"/>
      <c r="Z187" s="1214"/>
      <c r="AA187" s="1214"/>
      <c r="AB187" s="1214"/>
      <c r="AC187" s="1204"/>
      <c r="AD187" s="1204"/>
      <c r="AE187" s="385"/>
      <c r="AF187" s="385"/>
      <c r="AG187" s="385"/>
      <c r="AH187" s="385"/>
      <c r="AI187" s="385"/>
      <c r="AJ187" s="385"/>
      <c r="AK187" s="385"/>
      <c r="AL187" s="385"/>
      <c r="AN187" s="439"/>
      <c r="AP187" s="398" t="s">
        <v>2220</v>
      </c>
      <c r="AQ187" s="398">
        <v>10</v>
      </c>
    </row>
    <row r="188" spans="1:73" s="398" customFormat="1" ht="12.75" customHeight="1">
      <c r="A188" s="385"/>
      <c r="B188" s="2520" t="s">
        <v>940</v>
      </c>
      <c r="C188" s="2520"/>
      <c r="D188" s="2520"/>
      <c r="E188" s="2520"/>
      <c r="F188" s="2520"/>
      <c r="G188" s="2520"/>
      <c r="H188" s="2520"/>
      <c r="I188" s="2520"/>
      <c r="J188" s="2520"/>
      <c r="K188" s="2520"/>
      <c r="L188" s="2520"/>
      <c r="M188" s="2520"/>
      <c r="N188" s="2520"/>
      <c r="O188" s="2520"/>
      <c r="P188" s="2520"/>
      <c r="Q188" s="2520"/>
      <c r="R188" s="2520"/>
      <c r="S188" s="2520"/>
      <c r="T188" s="2520"/>
      <c r="U188" s="2520"/>
      <c r="V188" s="2520"/>
      <c r="W188" s="2520"/>
      <c r="X188" s="2520"/>
      <c r="Y188" s="2520"/>
      <c r="Z188" s="2520"/>
      <c r="AA188" s="2520"/>
      <c r="AB188" s="2520"/>
      <c r="AC188" s="2520"/>
      <c r="AD188" s="385"/>
      <c r="AE188" s="385"/>
      <c r="AF188" s="2451" t="s">
        <v>2221</v>
      </c>
      <c r="AG188" s="2451"/>
      <c r="AH188" s="2451"/>
      <c r="AI188" s="2451"/>
      <c r="AJ188" s="2451"/>
      <c r="AK188" s="2451"/>
      <c r="AL188" s="2451"/>
      <c r="AN188" s="439"/>
      <c r="AP188" s="398" t="s">
        <v>947</v>
      </c>
      <c r="AQ188" s="398">
        <v>10</v>
      </c>
    </row>
    <row r="189" spans="1:73" s="398" customFormat="1" ht="12.75" customHeight="1">
      <c r="A189" s="385"/>
      <c r="B189" s="2322" t="s">
        <v>2222</v>
      </c>
      <c r="C189" s="2322"/>
      <c r="D189" s="2322"/>
      <c r="E189" s="2322"/>
      <c r="F189" s="2322"/>
      <c r="G189" s="2322"/>
      <c r="H189" s="2322"/>
      <c r="I189" s="2322"/>
      <c r="J189" s="2322"/>
      <c r="K189" s="2322"/>
      <c r="L189" s="2322"/>
      <c r="M189" s="2322"/>
      <c r="N189" s="2322"/>
      <c r="O189" s="2322"/>
      <c r="P189" s="2322"/>
      <c r="Q189" s="2322"/>
      <c r="R189" s="2322"/>
      <c r="S189" s="2322"/>
      <c r="T189" s="2521" t="s">
        <v>798</v>
      </c>
      <c r="U189" s="2521"/>
      <c r="V189" s="2521"/>
      <c r="W189" s="2521"/>
      <c r="X189" s="2521"/>
      <c r="Y189" s="2521"/>
      <c r="Z189" s="2521"/>
      <c r="AA189" s="2521"/>
      <c r="AB189" s="2521"/>
      <c r="AC189" s="2521"/>
      <c r="AD189" s="385"/>
      <c r="AE189" s="385"/>
      <c r="AF189" s="385"/>
      <c r="AG189" s="385"/>
      <c r="AH189" s="385"/>
      <c r="AI189" s="385"/>
      <c r="AJ189" s="1187"/>
      <c r="AK189" s="437"/>
      <c r="AL189" s="437"/>
      <c r="AM189" s="437"/>
      <c r="AN189" s="439"/>
      <c r="AP189" s="398" t="s">
        <v>948</v>
      </c>
      <c r="AQ189" s="398">
        <v>10</v>
      </c>
      <c r="AS189" s="398" t="s">
        <v>798</v>
      </c>
    </row>
    <row r="190" spans="1:73" s="398" customFormat="1" ht="12.75" customHeight="1">
      <c r="A190" s="385"/>
      <c r="B190" s="1196"/>
      <c r="C190" s="1196"/>
      <c r="D190" s="1196"/>
      <c r="E190" s="1196"/>
      <c r="F190" s="1196"/>
      <c r="G190" s="1196"/>
      <c r="H190" s="1196"/>
      <c r="I190" s="1196"/>
      <c r="J190" s="1196"/>
      <c r="K190" s="1196"/>
      <c r="L190" s="1196"/>
      <c r="M190" s="1196"/>
      <c r="N190" s="1196"/>
      <c r="O190" s="1196"/>
      <c r="P190" s="1196"/>
      <c r="Q190" s="1196"/>
      <c r="R190" s="1196"/>
      <c r="S190" s="1196"/>
      <c r="T190" s="1196"/>
      <c r="U190" s="1196"/>
      <c r="V190" s="1196"/>
      <c r="W190" s="1196"/>
      <c r="X190" s="1196"/>
      <c r="Y190" s="1196"/>
      <c r="Z190" s="1196"/>
      <c r="AA190" s="1196"/>
      <c r="AB190" s="1196"/>
      <c r="AC190" s="1196"/>
      <c r="AD190" s="1196"/>
      <c r="AE190" s="385"/>
      <c r="AF190" s="385"/>
      <c r="AG190" s="385"/>
      <c r="AH190" s="385"/>
      <c r="AI190" s="385"/>
      <c r="AJ190" s="1187"/>
      <c r="AK190" s="437"/>
      <c r="AL190" s="437"/>
      <c r="AM190" s="458"/>
      <c r="AP190" s="398" t="s">
        <v>2223</v>
      </c>
      <c r="AQ190" s="398">
        <v>10</v>
      </c>
      <c r="AS190" s="398" t="s">
        <v>2224</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2225</v>
      </c>
      <c r="AK191" s="2358">
        <f>IF(AK84&gt;0,VLOOKUP($B$188,AP185:AQ191,2,FALSE),0)</f>
        <v>10</v>
      </c>
      <c r="AL191" s="2359"/>
      <c r="AM191" s="2360"/>
      <c r="AN191" s="384"/>
      <c r="AP191" s="398" t="s">
        <v>2226</v>
      </c>
      <c r="AQ191" s="398">
        <v>10</v>
      </c>
      <c r="AS191" s="398" t="s">
        <v>2227</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207"/>
      <c r="J193" s="1207"/>
      <c r="K193" s="1207"/>
      <c r="L193" s="1207"/>
      <c r="M193" s="1207"/>
      <c r="N193" s="1207"/>
      <c r="O193" s="1207"/>
      <c r="P193" s="1207"/>
      <c r="Q193" s="1207"/>
      <c r="R193" s="416"/>
      <c r="S193" s="388"/>
      <c r="T193" s="388"/>
      <c r="U193" s="388"/>
      <c r="V193" s="388"/>
      <c r="W193" s="388"/>
      <c r="X193" s="388"/>
      <c r="Y193" s="388"/>
      <c r="Z193" s="388"/>
      <c r="AA193" s="388"/>
      <c r="AB193" s="388"/>
      <c r="AC193" s="388"/>
      <c r="AD193" s="388"/>
      <c r="AE193" s="388"/>
      <c r="AF193" s="416"/>
      <c r="AG193" s="388"/>
      <c r="AH193" s="388"/>
      <c r="AI193" s="388"/>
      <c r="AJ193" s="388"/>
      <c r="AN193" s="439"/>
    </row>
    <row r="194" spans="1:40" ht="13">
      <c r="A194" s="387" t="s">
        <v>2228</v>
      </c>
      <c r="B194" s="387" t="s">
        <v>2229</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214"/>
      <c r="Z194" s="1214"/>
      <c r="AA194" s="1214"/>
      <c r="AB194" s="1214"/>
      <c r="AC194" s="398"/>
      <c r="AD194" s="398"/>
      <c r="AE194" s="2391" t="s">
        <v>2230</v>
      </c>
      <c r="AF194" s="2391"/>
      <c r="AG194" s="2391"/>
      <c r="AH194" s="2391"/>
      <c r="AI194" s="2391"/>
      <c r="AJ194" s="2391"/>
      <c r="AK194" s="2391"/>
    </row>
    <row r="195" spans="1:40" ht="13">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214"/>
      <c r="Z195" s="1214"/>
      <c r="AA195" s="1214"/>
      <c r="AB195" s="1214"/>
      <c r="AC195" s="385"/>
      <c r="AD195" s="385"/>
      <c r="AE195" s="1187"/>
      <c r="AF195" s="1187"/>
      <c r="AG195" s="1187"/>
      <c r="AH195" s="1187"/>
      <c r="AI195" s="1187"/>
      <c r="AJ195" s="1187"/>
      <c r="AK195" s="1187"/>
    </row>
    <row r="196" spans="1:40" ht="13">
      <c r="A196" s="387"/>
      <c r="B196" s="668" t="s">
        <v>2231</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214"/>
      <c r="Z196" s="1214"/>
      <c r="AA196" s="1214"/>
      <c r="AB196" s="1214"/>
      <c r="AC196" s="385"/>
      <c r="AD196" s="385"/>
      <c r="AE196" s="1187"/>
      <c r="AF196" s="1187"/>
      <c r="AG196" s="1187"/>
      <c r="AH196" s="1187"/>
      <c r="AI196" s="1187"/>
      <c r="AJ196" s="1187"/>
      <c r="AK196" s="1187"/>
    </row>
    <row r="197" spans="1:40">
      <c r="A197" s="1196"/>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200"/>
      <c r="Z197" s="1200"/>
      <c r="AA197" s="1200"/>
      <c r="AB197" s="1200"/>
      <c r="AC197" s="385"/>
      <c r="AD197" s="385"/>
      <c r="AE197" s="451"/>
      <c r="AF197" s="451"/>
      <c r="AG197" s="451"/>
      <c r="AH197" s="451"/>
      <c r="AI197" s="451"/>
      <c r="AJ197" s="451"/>
      <c r="AK197" s="451"/>
    </row>
    <row r="198" spans="1:40">
      <c r="A198" s="1196"/>
      <c r="B198" s="669" t="s">
        <v>2232</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200"/>
      <c r="Z198" s="1200"/>
      <c r="AA198" s="1200"/>
      <c r="AB198" s="1200"/>
      <c r="AC198" s="385"/>
      <c r="AD198" s="385"/>
      <c r="AE198" s="451"/>
      <c r="AF198" s="451"/>
      <c r="AG198" s="451"/>
      <c r="AH198" s="451"/>
      <c r="AI198" s="451"/>
      <c r="AJ198" s="451"/>
      <c r="AK198" s="451"/>
    </row>
    <row r="199" spans="1:40">
      <c r="A199" s="1196"/>
      <c r="B199" s="2514"/>
      <c r="C199" s="2514"/>
      <c r="D199" s="2514"/>
      <c r="E199" s="2514"/>
      <c r="F199" s="2514"/>
      <c r="G199" s="2514"/>
      <c r="H199" s="2514"/>
      <c r="I199" s="2514"/>
      <c r="J199" s="2514"/>
      <c r="K199" s="2514"/>
      <c r="L199" s="2514"/>
      <c r="M199" s="2514"/>
      <c r="N199" s="2514"/>
      <c r="O199" s="2514"/>
      <c r="P199" s="2514"/>
      <c r="Q199" s="2514"/>
      <c r="R199" s="2514"/>
      <c r="S199" s="2514"/>
      <c r="T199" s="2514"/>
      <c r="U199" s="2514"/>
      <c r="V199" s="2514"/>
      <c r="W199" s="2514"/>
      <c r="X199" s="2514"/>
      <c r="Y199" s="2514"/>
      <c r="Z199" s="2514"/>
      <c r="AA199" s="2514"/>
      <c r="AB199" s="2514"/>
      <c r="AC199" s="670"/>
      <c r="AD199" s="2504"/>
      <c r="AE199" s="2504"/>
      <c r="AF199" s="2504"/>
      <c r="AG199" s="2504"/>
      <c r="AH199" s="2504"/>
      <c r="AI199" s="2504"/>
      <c r="AJ199" s="2504"/>
      <c r="AK199" s="451"/>
    </row>
    <row r="200" spans="1:40">
      <c r="A200" s="1196"/>
      <c r="B200" s="2514"/>
      <c r="C200" s="2514"/>
      <c r="D200" s="2514"/>
      <c r="E200" s="2514"/>
      <c r="F200" s="2514"/>
      <c r="G200" s="2514"/>
      <c r="H200" s="2514"/>
      <c r="I200" s="2514"/>
      <c r="J200" s="2514"/>
      <c r="K200" s="2514"/>
      <c r="L200" s="2514"/>
      <c r="M200" s="2514"/>
      <c r="N200" s="2514"/>
      <c r="O200" s="2514"/>
      <c r="P200" s="2514"/>
      <c r="Q200" s="2514"/>
      <c r="R200" s="2514"/>
      <c r="S200" s="2514"/>
      <c r="T200" s="2514"/>
      <c r="U200" s="2514"/>
      <c r="V200" s="2514"/>
      <c r="W200" s="2514"/>
      <c r="X200" s="2514"/>
      <c r="Y200" s="2514"/>
      <c r="Z200" s="2514"/>
      <c r="AA200" s="2514"/>
      <c r="AB200" s="2514"/>
      <c r="AC200" s="670"/>
      <c r="AD200" s="2504"/>
      <c r="AE200" s="2504"/>
      <c r="AF200" s="2504"/>
      <c r="AG200" s="2504"/>
      <c r="AH200" s="2504"/>
      <c r="AI200" s="2504"/>
      <c r="AJ200" s="2504"/>
      <c r="AK200" s="451"/>
    </row>
    <row r="201" spans="1:40">
      <c r="A201" s="1196"/>
      <c r="B201" s="2514"/>
      <c r="C201" s="2514"/>
      <c r="D201" s="2514"/>
      <c r="E201" s="2514"/>
      <c r="F201" s="2514"/>
      <c r="G201" s="2514"/>
      <c r="H201" s="2514"/>
      <c r="I201" s="2514"/>
      <c r="J201" s="2514"/>
      <c r="K201" s="2514"/>
      <c r="L201" s="2514"/>
      <c r="M201" s="2514"/>
      <c r="N201" s="2514"/>
      <c r="O201" s="2514"/>
      <c r="P201" s="2514"/>
      <c r="Q201" s="2514"/>
      <c r="R201" s="2514"/>
      <c r="S201" s="2514"/>
      <c r="T201" s="2514"/>
      <c r="U201" s="2514"/>
      <c r="V201" s="2514"/>
      <c r="W201" s="2514"/>
      <c r="X201" s="2514"/>
      <c r="Y201" s="2514"/>
      <c r="Z201" s="2514"/>
      <c r="AA201" s="2514"/>
      <c r="AB201" s="2514"/>
      <c r="AC201" s="670"/>
      <c r="AD201" s="2504"/>
      <c r="AE201" s="2504"/>
      <c r="AF201" s="2504"/>
      <c r="AG201" s="2504"/>
      <c r="AH201" s="2504"/>
      <c r="AI201" s="2504"/>
      <c r="AJ201" s="2504"/>
      <c r="AK201" s="451"/>
    </row>
    <row r="202" spans="1:40">
      <c r="A202" s="1196"/>
      <c r="B202" s="2514"/>
      <c r="C202" s="2514"/>
      <c r="D202" s="2514"/>
      <c r="E202" s="2514"/>
      <c r="F202" s="2514"/>
      <c r="G202" s="2514"/>
      <c r="H202" s="2514"/>
      <c r="I202" s="2514"/>
      <c r="J202" s="2514"/>
      <c r="K202" s="2514"/>
      <c r="L202" s="2514"/>
      <c r="M202" s="2514"/>
      <c r="N202" s="2514"/>
      <c r="O202" s="2514"/>
      <c r="P202" s="2514"/>
      <c r="Q202" s="2514"/>
      <c r="R202" s="2514"/>
      <c r="S202" s="2514"/>
      <c r="T202" s="2514"/>
      <c r="U202" s="2514"/>
      <c r="V202" s="2514"/>
      <c r="W202" s="2514"/>
      <c r="X202" s="2514"/>
      <c r="Y202" s="2514"/>
      <c r="Z202" s="2514"/>
      <c r="AA202" s="2514"/>
      <c r="AB202" s="2514"/>
      <c r="AC202" s="670"/>
      <c r="AD202" s="2504"/>
      <c r="AE202" s="2504"/>
      <c r="AF202" s="2504"/>
      <c r="AG202" s="2504"/>
      <c r="AH202" s="2504"/>
      <c r="AI202" s="2504"/>
      <c r="AJ202" s="2504"/>
      <c r="AK202" s="451"/>
    </row>
    <row r="203" spans="1:40">
      <c r="A203" s="1196"/>
      <c r="B203" s="2514"/>
      <c r="C203" s="2514"/>
      <c r="D203" s="2514"/>
      <c r="E203" s="2514"/>
      <c r="F203" s="2514"/>
      <c r="G203" s="2514"/>
      <c r="H203" s="2514"/>
      <c r="I203" s="2514"/>
      <c r="J203" s="2514"/>
      <c r="K203" s="2514"/>
      <c r="L203" s="2514"/>
      <c r="M203" s="2514"/>
      <c r="N203" s="2514"/>
      <c r="O203" s="2514"/>
      <c r="P203" s="2514"/>
      <c r="Q203" s="2514"/>
      <c r="R203" s="2514"/>
      <c r="S203" s="2514"/>
      <c r="T203" s="2514"/>
      <c r="U203" s="2514"/>
      <c r="V203" s="2514"/>
      <c r="W203" s="2514"/>
      <c r="X203" s="2514"/>
      <c r="Y203" s="2514"/>
      <c r="Z203" s="2514"/>
      <c r="AA203" s="2514"/>
      <c r="AB203" s="2514"/>
      <c r="AC203" s="670"/>
      <c r="AD203" s="2504"/>
      <c r="AE203" s="2504"/>
      <c r="AF203" s="2504"/>
      <c r="AG203" s="2504"/>
      <c r="AH203" s="2504"/>
      <c r="AI203" s="2504"/>
      <c r="AJ203" s="2504"/>
      <c r="AK203" s="451"/>
    </row>
    <row r="204" spans="1:40">
      <c r="A204" s="1196"/>
      <c r="B204" s="2514"/>
      <c r="C204" s="2514"/>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670"/>
      <c r="AD204" s="2504"/>
      <c r="AE204" s="2504"/>
      <c r="AF204" s="2504"/>
      <c r="AG204" s="2504"/>
      <c r="AH204" s="2504"/>
      <c r="AI204" s="2504"/>
      <c r="AJ204" s="2504"/>
      <c r="AK204" s="451"/>
    </row>
    <row r="205" spans="1:40">
      <c r="A205" s="1196"/>
      <c r="B205" s="2514"/>
      <c r="C205" s="2514"/>
      <c r="D205" s="2514"/>
      <c r="E205" s="2514"/>
      <c r="F205" s="2514"/>
      <c r="G205" s="2514"/>
      <c r="H205" s="2514"/>
      <c r="I205" s="2514"/>
      <c r="J205" s="2514"/>
      <c r="K205" s="2514"/>
      <c r="L205" s="2514"/>
      <c r="M205" s="2514"/>
      <c r="N205" s="2514"/>
      <c r="O205" s="2514"/>
      <c r="P205" s="2514"/>
      <c r="Q205" s="2514"/>
      <c r="R205" s="2514"/>
      <c r="S205" s="2514"/>
      <c r="T205" s="2514"/>
      <c r="U205" s="2514"/>
      <c r="V205" s="2514"/>
      <c r="W205" s="2514"/>
      <c r="X205" s="2514"/>
      <c r="Y205" s="2514"/>
      <c r="Z205" s="2514"/>
      <c r="AA205" s="2514"/>
      <c r="AB205" s="2514"/>
      <c r="AC205" s="670"/>
      <c r="AD205" s="2504"/>
      <c r="AE205" s="2504"/>
      <c r="AF205" s="2504"/>
      <c r="AG205" s="2504"/>
      <c r="AH205" s="2504"/>
      <c r="AI205" s="2504"/>
      <c r="AJ205" s="2504"/>
      <c r="AK205" s="451"/>
    </row>
    <row r="206" spans="1:40">
      <c r="A206" s="1196"/>
      <c r="B206" s="2514"/>
      <c r="C206" s="2514"/>
      <c r="D206" s="2514"/>
      <c r="E206" s="2514"/>
      <c r="F206" s="2514"/>
      <c r="G206" s="2514"/>
      <c r="H206" s="2514"/>
      <c r="I206" s="2514"/>
      <c r="J206" s="2514"/>
      <c r="K206" s="2514"/>
      <c r="L206" s="2514"/>
      <c r="M206" s="2514"/>
      <c r="N206" s="2514"/>
      <c r="O206" s="2514"/>
      <c r="P206" s="2514"/>
      <c r="Q206" s="2514"/>
      <c r="R206" s="2514"/>
      <c r="S206" s="2514"/>
      <c r="T206" s="2514"/>
      <c r="U206" s="2514"/>
      <c r="V206" s="2514"/>
      <c r="W206" s="2514"/>
      <c r="X206" s="2514"/>
      <c r="Y206" s="2514"/>
      <c r="Z206" s="2514"/>
      <c r="AA206" s="2514"/>
      <c r="AB206" s="2514"/>
      <c r="AC206" s="670"/>
      <c r="AD206" s="2504"/>
      <c r="AE206" s="2504"/>
      <c r="AF206" s="2504"/>
      <c r="AG206" s="2504"/>
      <c r="AH206" s="2504"/>
      <c r="AI206" s="2504"/>
      <c r="AJ206" s="2504"/>
      <c r="AK206" s="451"/>
    </row>
    <row r="207" spans="1:40">
      <c r="A207" s="1196"/>
      <c r="B207" s="2514"/>
      <c r="C207" s="2514"/>
      <c r="D207" s="2514"/>
      <c r="E207" s="2514"/>
      <c r="F207" s="2514"/>
      <c r="G207" s="2514"/>
      <c r="H207" s="2514"/>
      <c r="I207" s="2514"/>
      <c r="J207" s="2514"/>
      <c r="K207" s="2514"/>
      <c r="L207" s="2514"/>
      <c r="M207" s="2514"/>
      <c r="N207" s="2514"/>
      <c r="O207" s="2514"/>
      <c r="P207" s="2514"/>
      <c r="Q207" s="2514"/>
      <c r="R207" s="2514"/>
      <c r="S207" s="2514"/>
      <c r="T207" s="2514"/>
      <c r="U207" s="2514"/>
      <c r="V207" s="2514"/>
      <c r="W207" s="2514"/>
      <c r="X207" s="2514"/>
      <c r="Y207" s="2514"/>
      <c r="Z207" s="2514"/>
      <c r="AA207" s="2514"/>
      <c r="AB207" s="2514"/>
      <c r="AC207" s="670"/>
      <c r="AD207" s="2504"/>
      <c r="AE207" s="2504"/>
      <c r="AF207" s="2504"/>
      <c r="AG207" s="2504"/>
      <c r="AH207" s="2504"/>
      <c r="AI207" s="2504"/>
      <c r="AJ207" s="2504"/>
      <c r="AK207" s="451"/>
    </row>
    <row r="208" spans="1:40">
      <c r="A208" s="1196"/>
      <c r="B208" s="2514"/>
      <c r="C208" s="2514"/>
      <c r="D208" s="2514"/>
      <c r="E208" s="2514"/>
      <c r="F208" s="2514"/>
      <c r="G208" s="2514"/>
      <c r="H208" s="2514"/>
      <c r="I208" s="2514"/>
      <c r="J208" s="2514"/>
      <c r="K208" s="2514"/>
      <c r="L208" s="2514"/>
      <c r="M208" s="2514"/>
      <c r="N208" s="2514"/>
      <c r="O208" s="2514"/>
      <c r="P208" s="2514"/>
      <c r="Q208" s="2514"/>
      <c r="R208" s="2514"/>
      <c r="S208" s="2514"/>
      <c r="T208" s="2514"/>
      <c r="U208" s="2514"/>
      <c r="V208" s="2514"/>
      <c r="W208" s="2514"/>
      <c r="X208" s="2514"/>
      <c r="Y208" s="2514"/>
      <c r="Z208" s="2514"/>
      <c r="AA208" s="2514"/>
      <c r="AB208" s="2514"/>
      <c r="AC208" s="670"/>
      <c r="AD208" s="2504"/>
      <c r="AE208" s="2504"/>
      <c r="AF208" s="2504"/>
      <c r="AG208" s="2504"/>
      <c r="AH208" s="2504"/>
      <c r="AI208" s="2504"/>
      <c r="AJ208" s="2504"/>
      <c r="AK208" s="451"/>
    </row>
    <row r="209" spans="1:37">
      <c r="A209" s="1196"/>
      <c r="B209" s="2529" t="s">
        <v>2233</v>
      </c>
      <c r="C209" s="2529"/>
      <c r="D209" s="2529"/>
      <c r="E209" s="2529"/>
      <c r="F209" s="2529"/>
      <c r="G209" s="2529"/>
      <c r="H209" s="2529"/>
      <c r="I209" s="2529"/>
      <c r="J209" s="2529"/>
      <c r="K209" s="2529"/>
      <c r="L209" s="2529"/>
      <c r="M209" s="2529"/>
      <c r="N209" s="2529"/>
      <c r="O209" s="2529"/>
      <c r="P209" s="2529"/>
      <c r="Q209" s="2529"/>
      <c r="R209" s="2529"/>
      <c r="S209" s="2529"/>
      <c r="T209" s="2529"/>
      <c r="U209" s="2529"/>
      <c r="V209" s="2529"/>
      <c r="W209" s="2529"/>
      <c r="X209" s="2529"/>
      <c r="Y209" s="2529"/>
      <c r="Z209" s="2529"/>
      <c r="AA209" s="2529"/>
      <c r="AB209" s="2529"/>
      <c r="AC209" s="385"/>
      <c r="AD209" s="2502">
        <f>AB260</f>
        <v>6497569.7813166231</v>
      </c>
      <c r="AE209" s="2502"/>
      <c r="AF209" s="2502"/>
      <c r="AG209" s="2502"/>
      <c r="AH209" s="2502"/>
      <c r="AI209" s="2502"/>
      <c r="AJ209" s="2502"/>
      <c r="AK209" s="451"/>
    </row>
    <row r="210" spans="1:37">
      <c r="A210" s="1196"/>
      <c r="B210" s="2376" t="s">
        <v>2234</v>
      </c>
      <c r="C210" s="2376"/>
      <c r="D210" s="2376"/>
      <c r="E210" s="2376"/>
      <c r="F210" s="2376"/>
      <c r="G210" s="2376"/>
      <c r="H210" s="2376"/>
      <c r="I210" s="2376"/>
      <c r="J210" s="2376"/>
      <c r="K210" s="2376"/>
      <c r="L210" s="2376"/>
      <c r="M210" s="2376"/>
      <c r="N210" s="2376"/>
      <c r="O210" s="2376"/>
      <c r="P210" s="2376"/>
      <c r="Q210" s="2376"/>
      <c r="R210" s="2376"/>
      <c r="S210" s="2376"/>
      <c r="T210" s="2376"/>
      <c r="U210" s="2376"/>
      <c r="V210" s="2376"/>
      <c r="W210" s="2376"/>
      <c r="X210" s="2376"/>
      <c r="Y210" s="2376"/>
      <c r="Z210" s="2376"/>
      <c r="AA210" s="2376"/>
      <c r="AB210" s="2376"/>
      <c r="AC210" s="670"/>
      <c r="AD210" s="2503">
        <f>'Sources and Uses Budget'!B15</f>
        <v>0</v>
      </c>
      <c r="AE210" s="2503"/>
      <c r="AF210" s="2503"/>
      <c r="AG210" s="2503"/>
      <c r="AH210" s="2503"/>
      <c r="AI210" s="2503"/>
      <c r="AJ210" s="2503"/>
      <c r="AK210" s="451"/>
    </row>
    <row r="211" spans="1:37" ht="13">
      <c r="A211" s="1196"/>
      <c r="B211" s="1139"/>
      <c r="C211" s="1139"/>
      <c r="D211" s="1139"/>
      <c r="E211" s="1139"/>
      <c r="F211" s="1139"/>
      <c r="G211" s="1139"/>
      <c r="H211" s="1139"/>
      <c r="I211" s="1139"/>
      <c r="J211" s="1139"/>
      <c r="K211" s="1139"/>
      <c r="L211" s="1139"/>
      <c r="M211" s="1139"/>
      <c r="N211" s="1139"/>
      <c r="O211" s="1139"/>
      <c r="P211" s="1139"/>
      <c r="Q211" s="1139"/>
      <c r="R211" s="1139"/>
      <c r="S211" s="1139"/>
      <c r="T211" s="1139"/>
      <c r="U211" s="1139"/>
      <c r="V211" s="1139"/>
      <c r="W211" s="1139"/>
      <c r="X211" s="1139"/>
      <c r="Y211" s="1139"/>
      <c r="Z211" s="1139"/>
      <c r="AA211" s="1139"/>
      <c r="AB211" s="463" t="s">
        <v>1481</v>
      </c>
      <c r="AC211" s="385"/>
      <c r="AD211" s="2508">
        <f>SUM(AD199:AJ209)-AD210</f>
        <v>6497569.7813166231</v>
      </c>
      <c r="AE211" s="2508"/>
      <c r="AF211" s="2508"/>
      <c r="AG211" s="2508"/>
      <c r="AH211" s="2508"/>
      <c r="AI211" s="2508"/>
      <c r="AJ211" s="2508"/>
      <c r="AK211" s="451"/>
    </row>
    <row r="212" spans="1:37">
      <c r="A212" s="1196"/>
      <c r="B212" s="1196"/>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200"/>
      <c r="Z212" s="1200"/>
      <c r="AA212" s="1200"/>
      <c r="AB212" s="1200"/>
      <c r="AC212" s="385"/>
      <c r="AD212" s="385"/>
      <c r="AE212" s="451"/>
      <c r="AF212" s="451"/>
      <c r="AG212" s="451"/>
      <c r="AH212" s="451"/>
      <c r="AI212" s="451"/>
      <c r="AJ212" s="451"/>
      <c r="AK212" s="451"/>
    </row>
    <row r="213" spans="1:37" ht="13">
      <c r="A213" s="1196"/>
      <c r="B213" s="350" t="s">
        <v>2235</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200"/>
      <c r="Z213" s="1200"/>
      <c r="AA213" s="1200"/>
      <c r="AB213" s="1200"/>
      <c r="AC213" s="385"/>
      <c r="AD213" s="385"/>
      <c r="AE213" s="451"/>
      <c r="AF213" s="451"/>
      <c r="AG213" s="451"/>
      <c r="AH213" s="451"/>
      <c r="AI213" s="451"/>
      <c r="AJ213" s="451"/>
      <c r="AK213" s="451"/>
    </row>
    <row r="214" spans="1:37">
      <c r="A214" s="1196"/>
      <c r="B214" s="332" t="s">
        <v>2236</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200"/>
      <c r="Z214" s="1200"/>
      <c r="AA214" s="1200"/>
      <c r="AB214" s="1200"/>
      <c r="AC214" s="385"/>
      <c r="AD214" s="385"/>
      <c r="AE214" s="451"/>
      <c r="AF214" s="451"/>
      <c r="AG214" s="451"/>
      <c r="AH214" s="451"/>
      <c r="AI214" s="451"/>
      <c r="AJ214" s="451"/>
      <c r="AK214" s="451"/>
    </row>
    <row r="215" spans="1:37">
      <c r="A215" s="677"/>
      <c r="B215" s="693" t="s">
        <v>2237</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202"/>
      <c r="Z215" s="1202"/>
      <c r="AA215" s="1202"/>
      <c r="AB215" s="1202"/>
      <c r="AC215" s="577"/>
      <c r="AD215" s="577"/>
      <c r="AE215" s="655"/>
      <c r="AF215" s="655"/>
      <c r="AG215" s="655"/>
      <c r="AH215" s="655"/>
      <c r="AI215" s="655"/>
      <c r="AJ215" s="656"/>
      <c r="AK215" s="451"/>
    </row>
    <row r="216" spans="1:37">
      <c r="A216" s="677"/>
      <c r="B216" s="697" t="s">
        <v>2238</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200"/>
      <c r="Z216" s="1200"/>
      <c r="AA216" s="1200"/>
      <c r="AB216" s="1200"/>
      <c r="AC216" s="385"/>
      <c r="AD216" s="385"/>
      <c r="AE216" s="451"/>
      <c r="AF216" s="451"/>
      <c r="AG216" s="451"/>
      <c r="AH216" s="451"/>
      <c r="AI216" s="451"/>
      <c r="AJ216" s="657"/>
      <c r="AK216" s="451"/>
    </row>
    <row r="217" spans="1:37">
      <c r="A217" s="677"/>
      <c r="B217" s="697" t="s">
        <v>2239</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200"/>
      <c r="Z217" s="1200"/>
      <c r="AA217" s="1200"/>
      <c r="AB217" s="1200"/>
      <c r="AC217" s="385"/>
      <c r="AD217" s="385"/>
      <c r="AE217" s="451"/>
      <c r="AF217" s="451"/>
      <c r="AG217" s="451"/>
      <c r="AH217" s="451"/>
      <c r="AI217" s="451"/>
      <c r="AJ217" s="657"/>
      <c r="AK217" s="451"/>
    </row>
    <row r="218" spans="1:37">
      <c r="A218" s="677"/>
      <c r="B218" s="697" t="s">
        <v>2240</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200"/>
      <c r="Z218" s="1200"/>
      <c r="AA218" s="1200"/>
      <c r="AB218" s="1200"/>
      <c r="AC218" s="385"/>
      <c r="AD218" s="385"/>
      <c r="AE218" s="451"/>
      <c r="AF218" s="451"/>
      <c r="AG218" s="451"/>
      <c r="AH218" s="451"/>
      <c r="AI218" s="451"/>
      <c r="AJ218" s="657"/>
      <c r="AK218" s="451"/>
    </row>
    <row r="219" spans="1:37">
      <c r="A219" s="677"/>
      <c r="B219" s="701" t="s">
        <v>2241</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200"/>
      <c r="Z219" s="1200"/>
      <c r="AA219" s="1200"/>
      <c r="AB219" s="1200"/>
      <c r="AC219" s="385"/>
      <c r="AD219" s="385"/>
      <c r="AE219" s="451"/>
      <c r="AF219" s="451"/>
      <c r="AG219" s="451"/>
      <c r="AH219" s="451"/>
      <c r="AI219" s="451"/>
      <c r="AJ219" s="657"/>
      <c r="AK219" s="451"/>
    </row>
    <row r="220" spans="1:37" ht="13">
      <c r="A220" s="677"/>
      <c r="B220" s="702" t="s">
        <v>2242</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201"/>
      <c r="Z220" s="1201"/>
      <c r="AA220" s="1201"/>
      <c r="AB220" s="1201"/>
      <c r="AC220" s="570"/>
      <c r="AD220" s="570"/>
      <c r="AE220" s="658"/>
      <c r="AF220" s="658"/>
      <c r="AG220" s="658"/>
      <c r="AH220" s="658"/>
      <c r="AI220" s="658"/>
      <c r="AJ220" s="659"/>
      <c r="AK220" s="451"/>
    </row>
    <row r="221" spans="1:37">
      <c r="A221" s="1196"/>
      <c r="B221" s="1196"/>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200"/>
      <c r="Z221" s="1200"/>
      <c r="AA221" s="1200"/>
      <c r="AB221" s="1200"/>
      <c r="AC221" s="385"/>
      <c r="AD221" s="385"/>
      <c r="AE221" s="451"/>
      <c r="AF221" s="451"/>
      <c r="AG221" s="451"/>
      <c r="AH221" s="451"/>
      <c r="AI221" s="451"/>
      <c r="AJ221" s="451"/>
      <c r="AK221" s="451"/>
    </row>
    <row r="222" spans="1:37">
      <c r="A222" s="1196"/>
      <c r="B222" s="672"/>
      <c r="C222" s="332"/>
      <c r="D222" s="332"/>
      <c r="I222" s="2527" t="s">
        <v>2243</v>
      </c>
      <c r="J222" s="2527"/>
      <c r="K222" s="2527"/>
      <c r="L222" s="385"/>
      <c r="M222" s="385"/>
      <c r="N222" s="385"/>
      <c r="O222" s="385"/>
      <c r="P222" s="385"/>
      <c r="Q222" s="385"/>
      <c r="R222" s="385"/>
      <c r="S222" s="385"/>
      <c r="T222" s="2342" t="s">
        <v>2244</v>
      </c>
      <c r="U222" s="2342"/>
      <c r="V222" s="2342"/>
      <c r="W222" s="2342"/>
      <c r="X222" s="2342"/>
      <c r="Y222" s="2342"/>
      <c r="Z222" s="673"/>
      <c r="AA222" s="342"/>
      <c r="AB222" s="2524" t="s">
        <v>2245</v>
      </c>
      <c r="AC222" s="2524"/>
      <c r="AD222" s="2524"/>
      <c r="AE222" s="2524"/>
      <c r="AF222" s="2524"/>
      <c r="AG222" s="2524"/>
      <c r="AH222" s="654"/>
      <c r="AI222" s="654"/>
      <c r="AJ222" s="654"/>
      <c r="AK222" s="451"/>
    </row>
    <row r="223" spans="1:37">
      <c r="A223" s="1196"/>
      <c r="B223" s="2525" t="s">
        <v>2246</v>
      </c>
      <c r="C223" s="2525"/>
      <c r="D223" s="2525"/>
      <c r="E223" s="2525"/>
      <c r="F223" s="2525"/>
      <c r="G223" s="2525"/>
      <c r="I223" s="2526" t="s">
        <v>2247</v>
      </c>
      <c r="J223" s="2526"/>
      <c r="K223" s="2526"/>
      <c r="L223" s="1195"/>
      <c r="N223" s="2377" t="s">
        <v>2248</v>
      </c>
      <c r="O223" s="2377"/>
      <c r="P223" s="2377"/>
      <c r="Q223" s="2377"/>
      <c r="R223" s="2377"/>
      <c r="T223" s="2377" t="s">
        <v>2249</v>
      </c>
      <c r="U223" s="2377"/>
      <c r="V223" s="2377"/>
      <c r="W223" s="2377"/>
      <c r="X223" s="2377"/>
      <c r="Y223" s="2377"/>
      <c r="Z223" s="674"/>
      <c r="AA223" s="342"/>
      <c r="AB223" s="2392" t="s">
        <v>2250</v>
      </c>
      <c r="AC223" s="2392"/>
      <c r="AD223" s="2392"/>
      <c r="AE223" s="2392"/>
      <c r="AF223" s="2392"/>
      <c r="AG223" s="2392"/>
      <c r="AH223" s="654"/>
      <c r="AI223" s="654"/>
      <c r="AJ223" s="654"/>
      <c r="AK223" s="451"/>
    </row>
    <row r="224" spans="1:37">
      <c r="A224" s="1196"/>
      <c r="B224" s="2393" t="s">
        <v>2251</v>
      </c>
      <c r="C224" s="2393"/>
      <c r="D224" s="2393"/>
      <c r="E224" s="2393"/>
      <c r="F224" s="2393"/>
      <c r="G224" s="2393"/>
      <c r="H224" s="676"/>
      <c r="I224" s="2346">
        <v>10</v>
      </c>
      <c r="J224" s="2346"/>
      <c r="K224" s="2346"/>
      <c r="L224" s="1195"/>
      <c r="N224" s="2344">
        <v>636</v>
      </c>
      <c r="O224" s="2344"/>
      <c r="P224" s="2344"/>
      <c r="Q224" s="2344"/>
      <c r="R224" s="2344"/>
      <c r="T224" s="2343">
        <v>2500</v>
      </c>
      <c r="U224" s="2343"/>
      <c r="V224" s="2343"/>
      <c r="W224" s="2343"/>
      <c r="X224" s="2343"/>
      <c r="Y224" s="2343"/>
      <c r="Z224" s="675"/>
      <c r="AA224" s="675"/>
      <c r="AB224" s="2341">
        <f t="shared" ref="AB224:AB233" si="0">MAX(($T224-$N224)*$I224*12,0)</f>
        <v>223680</v>
      </c>
      <c r="AC224" s="2341"/>
      <c r="AD224" s="2341"/>
      <c r="AE224" s="2341"/>
      <c r="AF224" s="2341"/>
      <c r="AG224" s="2341"/>
      <c r="AH224" s="654"/>
      <c r="AI224" s="654"/>
      <c r="AJ224" s="654"/>
      <c r="AK224" s="451"/>
    </row>
    <row r="225" spans="1:37">
      <c r="A225" s="1196"/>
      <c r="B225" s="2393" t="s">
        <v>2252</v>
      </c>
      <c r="C225" s="2393"/>
      <c r="D225" s="2393"/>
      <c r="E225" s="2393"/>
      <c r="F225" s="2393"/>
      <c r="G225" s="2393"/>
      <c r="I225" s="2346">
        <v>15</v>
      </c>
      <c r="J225" s="2346"/>
      <c r="K225" s="2346"/>
      <c r="L225" s="1195"/>
      <c r="N225" s="2344">
        <v>709</v>
      </c>
      <c r="O225" s="2344"/>
      <c r="P225" s="2344"/>
      <c r="Q225" s="2344"/>
      <c r="R225" s="2344"/>
      <c r="T225" s="2343">
        <v>3345</v>
      </c>
      <c r="U225" s="2343"/>
      <c r="V225" s="2343"/>
      <c r="W225" s="2343"/>
      <c r="X225" s="2343"/>
      <c r="Y225" s="2343"/>
      <c r="Z225" s="675"/>
      <c r="AA225" s="675"/>
      <c r="AB225" s="2341">
        <f t="shared" si="0"/>
        <v>474480</v>
      </c>
      <c r="AC225" s="2341"/>
      <c r="AD225" s="2341"/>
      <c r="AE225" s="2341"/>
      <c r="AF225" s="2341"/>
      <c r="AG225" s="2341"/>
      <c r="AH225" s="654"/>
      <c r="AI225" s="654"/>
      <c r="AJ225" s="654"/>
      <c r="AK225" s="451"/>
    </row>
    <row r="226" spans="1:37">
      <c r="A226" s="1196"/>
      <c r="B226" s="2393" t="s">
        <v>1003</v>
      </c>
      <c r="C226" s="2393"/>
      <c r="D226" s="2393"/>
      <c r="E226" s="2393"/>
      <c r="F226" s="2393"/>
      <c r="G226" s="2393"/>
      <c r="I226" s="2346"/>
      <c r="J226" s="2346"/>
      <c r="K226" s="2346"/>
      <c r="L226" s="1195"/>
      <c r="N226" s="2344"/>
      <c r="O226" s="2344"/>
      <c r="P226" s="2344"/>
      <c r="Q226" s="2344"/>
      <c r="R226" s="2344"/>
      <c r="T226" s="2343"/>
      <c r="U226" s="2343"/>
      <c r="V226" s="2343"/>
      <c r="W226" s="2343"/>
      <c r="X226" s="2343"/>
      <c r="Y226" s="2343"/>
      <c r="Z226" s="675"/>
      <c r="AA226" s="675"/>
      <c r="AB226" s="2341">
        <f t="shared" si="0"/>
        <v>0</v>
      </c>
      <c r="AC226" s="2341"/>
      <c r="AD226" s="2341"/>
      <c r="AE226" s="2341"/>
      <c r="AF226" s="2341"/>
      <c r="AG226" s="2341"/>
      <c r="AH226" s="654"/>
      <c r="AI226" s="654"/>
      <c r="AJ226" s="654"/>
      <c r="AK226" s="451"/>
    </row>
    <row r="227" spans="1:37">
      <c r="A227" s="1196"/>
      <c r="B227" s="2393" t="s">
        <v>1003</v>
      </c>
      <c r="C227" s="2393"/>
      <c r="D227" s="2393"/>
      <c r="E227" s="2393"/>
      <c r="F227" s="2393"/>
      <c r="G227" s="2393"/>
      <c r="I227" s="2346"/>
      <c r="J227" s="2346"/>
      <c r="K227" s="2346"/>
      <c r="L227" s="1195"/>
      <c r="N227" s="2344"/>
      <c r="O227" s="2344"/>
      <c r="P227" s="2344"/>
      <c r="Q227" s="2344"/>
      <c r="R227" s="2344"/>
      <c r="T227" s="2343"/>
      <c r="U227" s="2343"/>
      <c r="V227" s="2343"/>
      <c r="W227" s="2343"/>
      <c r="X227" s="2343"/>
      <c r="Y227" s="2343"/>
      <c r="Z227" s="675"/>
      <c r="AA227" s="675"/>
      <c r="AB227" s="2341">
        <f t="shared" si="0"/>
        <v>0</v>
      </c>
      <c r="AC227" s="2341"/>
      <c r="AD227" s="2341"/>
      <c r="AE227" s="2341"/>
      <c r="AF227" s="2341"/>
      <c r="AG227" s="2341"/>
      <c r="AH227" s="654"/>
      <c r="AI227" s="654"/>
      <c r="AJ227" s="654"/>
      <c r="AK227" s="451"/>
    </row>
    <row r="228" spans="1:37">
      <c r="A228" s="1196"/>
      <c r="B228" s="2393" t="s">
        <v>1003</v>
      </c>
      <c r="C228" s="2393"/>
      <c r="D228" s="2393"/>
      <c r="E228" s="2393"/>
      <c r="F228" s="2393"/>
      <c r="G228" s="2393"/>
      <c r="I228" s="2346"/>
      <c r="J228" s="2346"/>
      <c r="K228" s="2346"/>
      <c r="L228" s="804"/>
      <c r="N228" s="2344"/>
      <c r="O228" s="2344"/>
      <c r="P228" s="2344"/>
      <c r="Q228" s="2344"/>
      <c r="R228" s="2344"/>
      <c r="T228" s="2343"/>
      <c r="U228" s="2343"/>
      <c r="V228" s="2343"/>
      <c r="W228" s="2343"/>
      <c r="X228" s="2343"/>
      <c r="Y228" s="2343"/>
      <c r="Z228" s="675"/>
      <c r="AA228" s="675"/>
      <c r="AB228" s="2341">
        <f t="shared" si="0"/>
        <v>0</v>
      </c>
      <c r="AC228" s="2341"/>
      <c r="AD228" s="2341"/>
      <c r="AE228" s="2341"/>
      <c r="AF228" s="2341"/>
      <c r="AG228" s="2341"/>
      <c r="AH228" s="654"/>
      <c r="AI228" s="654"/>
      <c r="AJ228" s="654"/>
      <c r="AK228" s="451"/>
    </row>
    <row r="229" spans="1:37">
      <c r="A229" s="1196"/>
      <c r="B229" s="2393" t="s">
        <v>1003</v>
      </c>
      <c r="C229" s="2393"/>
      <c r="D229" s="2393"/>
      <c r="E229" s="2393"/>
      <c r="F229" s="2393"/>
      <c r="G229" s="2393"/>
      <c r="I229" s="2346"/>
      <c r="J229" s="2346"/>
      <c r="K229" s="2346"/>
      <c r="L229" s="804"/>
      <c r="N229" s="2344"/>
      <c r="O229" s="2344"/>
      <c r="P229" s="2344"/>
      <c r="Q229" s="2344"/>
      <c r="R229" s="2344"/>
      <c r="T229" s="2343"/>
      <c r="U229" s="2343"/>
      <c r="V229" s="2343"/>
      <c r="W229" s="2343"/>
      <c r="X229" s="2343"/>
      <c r="Y229" s="2343"/>
      <c r="Z229" s="675"/>
      <c r="AA229" s="675"/>
      <c r="AB229" s="2341">
        <f t="shared" si="0"/>
        <v>0</v>
      </c>
      <c r="AC229" s="2341"/>
      <c r="AD229" s="2341"/>
      <c r="AE229" s="2341"/>
      <c r="AF229" s="2341"/>
      <c r="AG229" s="2341"/>
      <c r="AH229" s="654"/>
      <c r="AI229" s="654"/>
      <c r="AJ229" s="654"/>
      <c r="AK229" s="451"/>
    </row>
    <row r="230" spans="1:37">
      <c r="A230" s="1196"/>
      <c r="B230" s="2393" t="s">
        <v>1003</v>
      </c>
      <c r="C230" s="2393"/>
      <c r="D230" s="2393"/>
      <c r="E230" s="2393"/>
      <c r="F230" s="2393"/>
      <c r="G230" s="2393"/>
      <c r="I230" s="2346"/>
      <c r="J230" s="2346"/>
      <c r="K230" s="2346"/>
      <c r="L230" s="804"/>
      <c r="N230" s="2344"/>
      <c r="O230" s="2344"/>
      <c r="P230" s="2344"/>
      <c r="Q230" s="2344"/>
      <c r="R230" s="2344"/>
      <c r="T230" s="2343"/>
      <c r="U230" s="2343"/>
      <c r="V230" s="2343"/>
      <c r="W230" s="2343"/>
      <c r="X230" s="2343"/>
      <c r="Y230" s="2343"/>
      <c r="Z230" s="675"/>
      <c r="AA230" s="675"/>
      <c r="AB230" s="2341">
        <f t="shared" si="0"/>
        <v>0</v>
      </c>
      <c r="AC230" s="2341"/>
      <c r="AD230" s="2341"/>
      <c r="AE230" s="2341"/>
      <c r="AF230" s="2341"/>
      <c r="AG230" s="2341"/>
      <c r="AH230" s="654"/>
      <c r="AI230" s="654"/>
      <c r="AJ230" s="654"/>
      <c r="AK230" s="451"/>
    </row>
    <row r="231" spans="1:37">
      <c r="A231" s="1196"/>
      <c r="B231" s="2393" t="s">
        <v>1003</v>
      </c>
      <c r="C231" s="2393"/>
      <c r="D231" s="2393"/>
      <c r="E231" s="2393"/>
      <c r="F231" s="2393"/>
      <c r="G231" s="2393"/>
      <c r="I231" s="2346"/>
      <c r="J231" s="2346"/>
      <c r="K231" s="2346"/>
      <c r="L231" s="804"/>
      <c r="N231" s="2344"/>
      <c r="O231" s="2344"/>
      <c r="P231" s="2344"/>
      <c r="Q231" s="2344"/>
      <c r="R231" s="2344"/>
      <c r="T231" s="2343"/>
      <c r="U231" s="2343"/>
      <c r="V231" s="2343"/>
      <c r="W231" s="2343"/>
      <c r="X231" s="2343"/>
      <c r="Y231" s="2343"/>
      <c r="Z231" s="675"/>
      <c r="AA231" s="675"/>
      <c r="AB231" s="2341">
        <f t="shared" si="0"/>
        <v>0</v>
      </c>
      <c r="AC231" s="2341"/>
      <c r="AD231" s="2341"/>
      <c r="AE231" s="2341"/>
      <c r="AF231" s="2341"/>
      <c r="AG231" s="2341"/>
      <c r="AH231" s="654"/>
      <c r="AI231" s="654"/>
      <c r="AJ231" s="654"/>
      <c r="AK231" s="451"/>
    </row>
    <row r="232" spans="1:37">
      <c r="A232" s="1196"/>
      <c r="B232" s="2393" t="s">
        <v>1003</v>
      </c>
      <c r="C232" s="2393"/>
      <c r="D232" s="2393"/>
      <c r="E232" s="2393"/>
      <c r="F232" s="2393"/>
      <c r="G232" s="2393"/>
      <c r="I232" s="2346"/>
      <c r="J232" s="2346"/>
      <c r="K232" s="2346"/>
      <c r="L232" s="804"/>
      <c r="N232" s="2344"/>
      <c r="O232" s="2344"/>
      <c r="P232" s="2344"/>
      <c r="Q232" s="2344"/>
      <c r="R232" s="2344"/>
      <c r="T232" s="2343"/>
      <c r="U232" s="2343"/>
      <c r="V232" s="2343"/>
      <c r="W232" s="2343"/>
      <c r="X232" s="2343"/>
      <c r="Y232" s="2343"/>
      <c r="Z232" s="675"/>
      <c r="AA232" s="675"/>
      <c r="AB232" s="2341">
        <f t="shared" si="0"/>
        <v>0</v>
      </c>
      <c r="AC232" s="2341"/>
      <c r="AD232" s="2341"/>
      <c r="AE232" s="2341"/>
      <c r="AF232" s="2341"/>
      <c r="AG232" s="2341"/>
      <c r="AH232" s="654"/>
      <c r="AI232" s="654"/>
      <c r="AJ232" s="654"/>
      <c r="AK232" s="451"/>
    </row>
    <row r="233" spans="1:37">
      <c r="A233" s="1196"/>
      <c r="B233" s="2393" t="s">
        <v>1003</v>
      </c>
      <c r="C233" s="2393"/>
      <c r="D233" s="2393"/>
      <c r="E233" s="2393"/>
      <c r="F233" s="2393"/>
      <c r="G233" s="2393"/>
      <c r="I233" s="2528"/>
      <c r="J233" s="2528"/>
      <c r="K233" s="2528"/>
      <c r="L233" s="804"/>
      <c r="N233" s="2344"/>
      <c r="O233" s="2344"/>
      <c r="P233" s="2344"/>
      <c r="Q233" s="2344"/>
      <c r="R233" s="2344"/>
      <c r="T233" s="2343"/>
      <c r="U233" s="2343"/>
      <c r="V233" s="2343"/>
      <c r="W233" s="2343"/>
      <c r="X233" s="2343"/>
      <c r="Y233" s="2343"/>
      <c r="Z233" s="675"/>
      <c r="AA233" s="675"/>
      <c r="AB233" s="2347">
        <f t="shared" si="0"/>
        <v>0</v>
      </c>
      <c r="AC233" s="2347"/>
      <c r="AD233" s="2347"/>
      <c r="AE233" s="2347"/>
      <c r="AF233" s="2347"/>
      <c r="AG233" s="2347"/>
      <c r="AH233" s="654"/>
      <c r="AI233" s="654"/>
      <c r="AJ233" s="654"/>
      <c r="AK233" s="451"/>
    </row>
    <row r="234" spans="1:37">
      <c r="A234" s="1196"/>
      <c r="B234" s="332"/>
      <c r="C234" s="676"/>
      <c r="D234" s="332"/>
      <c r="K234" s="385"/>
      <c r="L234" s="385"/>
      <c r="M234" s="385"/>
      <c r="N234" s="385"/>
      <c r="O234" s="385"/>
      <c r="P234" s="385"/>
      <c r="Q234" s="385"/>
      <c r="R234" s="385"/>
      <c r="S234" s="385"/>
      <c r="T234" s="385"/>
      <c r="U234" s="385"/>
      <c r="V234" s="385"/>
      <c r="W234" s="385"/>
      <c r="X234" s="385"/>
      <c r="Y234" s="1194" t="s">
        <v>2253</v>
      </c>
      <c r="AA234" s="1194"/>
      <c r="AB234" s="2341">
        <f>SUM(AB224:AB233)</f>
        <v>698160</v>
      </c>
      <c r="AC234" s="2341"/>
      <c r="AD234" s="2341"/>
      <c r="AE234" s="2341"/>
      <c r="AF234" s="2341"/>
      <c r="AG234" s="2341"/>
      <c r="AH234" s="654"/>
      <c r="AI234" s="654"/>
      <c r="AJ234" s="654"/>
      <c r="AK234" s="451"/>
    </row>
    <row r="235" spans="1:37">
      <c r="A235" s="1196"/>
      <c r="B235" s="1196"/>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200"/>
      <c r="Z235" s="1200"/>
      <c r="AA235" s="1200"/>
      <c r="AB235" s="1200"/>
      <c r="AC235" s="398"/>
      <c r="AD235" s="398"/>
      <c r="AE235" s="451"/>
      <c r="AF235" s="451"/>
      <c r="AG235" s="451"/>
      <c r="AH235" s="451"/>
      <c r="AI235" s="451"/>
      <c r="AJ235" s="451"/>
      <c r="AK235" s="451"/>
    </row>
    <row r="236" spans="1:37" ht="13">
      <c r="A236" s="920" t="s">
        <v>2254</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200"/>
      <c r="Z236" s="1200"/>
      <c r="AA236" s="1200"/>
      <c r="AB236" s="1200"/>
      <c r="AC236" s="385"/>
      <c r="AD236" s="385"/>
      <c r="AE236" s="451"/>
      <c r="AF236" s="451"/>
      <c r="AG236" s="451"/>
      <c r="AH236" s="451"/>
      <c r="AI236" s="451"/>
      <c r="AJ236" s="451"/>
      <c r="AK236" s="451"/>
    </row>
    <row r="237" spans="1:37">
      <c r="A237" s="1196"/>
      <c r="B237" s="332" t="s">
        <v>2255</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200"/>
      <c r="Z237" s="1200"/>
      <c r="AA237" s="1200"/>
      <c r="AB237" s="1200"/>
      <c r="AC237" s="385"/>
      <c r="AD237" s="385"/>
      <c r="AE237" s="451"/>
      <c r="AF237" s="451"/>
      <c r="AG237" s="451"/>
      <c r="AH237" s="451"/>
      <c r="AI237" s="451"/>
      <c r="AJ237" s="451"/>
      <c r="AK237" s="451"/>
    </row>
    <row r="238" spans="1:37">
      <c r="A238" s="1196"/>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200"/>
      <c r="Z238" s="1200"/>
      <c r="AA238" s="1200"/>
      <c r="AB238" s="1200"/>
      <c r="AC238" s="385"/>
      <c r="AD238" s="385"/>
      <c r="AE238" s="451"/>
      <c r="AF238" s="451"/>
      <c r="AG238" s="451"/>
      <c r="AH238" s="451"/>
      <c r="AI238" s="451"/>
      <c r="AJ238" s="451"/>
      <c r="AK238" s="451"/>
    </row>
    <row r="239" spans="1:37">
      <c r="A239" s="1196"/>
      <c r="B239" s="661" t="s">
        <v>2256</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200"/>
      <c r="Z239" s="1200"/>
      <c r="AA239" s="1200"/>
      <c r="AB239" s="1200"/>
      <c r="AC239" s="385"/>
      <c r="AD239" s="385"/>
      <c r="AE239" s="451"/>
      <c r="AF239" s="451"/>
      <c r="AG239" s="451"/>
      <c r="AH239" s="451"/>
      <c r="AI239" s="451"/>
      <c r="AJ239" s="451"/>
      <c r="AK239" s="451"/>
    </row>
    <row r="240" spans="1:37">
      <c r="A240" s="1196"/>
      <c r="B240" s="661" t="s">
        <v>2257</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200"/>
      <c r="Z240" s="1200"/>
      <c r="AA240" s="1200"/>
      <c r="AB240" s="2378"/>
      <c r="AC240" s="2378"/>
      <c r="AD240" s="2378"/>
      <c r="AE240" s="2378"/>
      <c r="AF240" s="2378"/>
      <c r="AG240" s="2378"/>
      <c r="AH240" s="451"/>
      <c r="AI240" s="451"/>
      <c r="AJ240" s="451"/>
      <c r="AK240" s="451"/>
    </row>
    <row r="241" spans="1:37" ht="13">
      <c r="A241" s="1196"/>
      <c r="B241" s="662" t="s">
        <v>2258</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200"/>
      <c r="Z241" s="1200"/>
      <c r="AA241" s="1200"/>
      <c r="AB241" s="1200"/>
      <c r="AC241" s="385"/>
      <c r="AD241" s="385"/>
      <c r="AE241" s="451"/>
      <c r="AF241" s="451"/>
      <c r="AG241" s="451"/>
      <c r="AH241" s="451"/>
      <c r="AI241" s="451"/>
      <c r="AJ241" s="451"/>
      <c r="AK241" s="451"/>
    </row>
    <row r="242" spans="1:37">
      <c r="A242" s="1196"/>
      <c r="B242" s="663" t="s">
        <v>2259</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200"/>
      <c r="Z242" s="1200"/>
      <c r="AA242" s="1200"/>
      <c r="AB242" s="1200"/>
      <c r="AC242" s="385"/>
      <c r="AD242" s="385"/>
      <c r="AE242" s="451"/>
      <c r="AF242" s="451"/>
      <c r="AG242" s="451"/>
      <c r="AH242" s="451"/>
      <c r="AI242" s="451"/>
      <c r="AJ242" s="451"/>
      <c r="AK242" s="451"/>
    </row>
    <row r="243" spans="1:37">
      <c r="A243" s="1196"/>
      <c r="B243" s="663" t="s">
        <v>2260</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200"/>
      <c r="Z243" s="1200"/>
      <c r="AA243" s="1200"/>
      <c r="AB243" s="2378"/>
      <c r="AC243" s="2378"/>
      <c r="AD243" s="2378"/>
      <c r="AE243" s="2378"/>
      <c r="AF243" s="2378"/>
      <c r="AG243" s="2378"/>
      <c r="AH243" s="451"/>
      <c r="AI243" s="451"/>
      <c r="AJ243" s="451"/>
      <c r="AK243" s="451"/>
    </row>
    <row r="244" spans="1:37">
      <c r="A244" s="1196"/>
      <c r="B244" s="663" t="s">
        <v>2261</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200"/>
      <c r="Z244" s="1200"/>
      <c r="AA244" s="1200"/>
      <c r="AB244" s="2340"/>
      <c r="AC244" s="2340"/>
      <c r="AD244" s="2340"/>
      <c r="AE244" s="2340"/>
      <c r="AF244" s="2340"/>
      <c r="AG244" s="2340"/>
      <c r="AH244" s="451"/>
      <c r="AI244" s="451"/>
      <c r="AJ244" s="451"/>
      <c r="AK244" s="451"/>
    </row>
    <row r="245" spans="1:37">
      <c r="A245" s="1196"/>
      <c r="B245" s="663" t="s">
        <v>2262</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200"/>
      <c r="Z245" s="1200"/>
      <c r="AA245" s="1200"/>
      <c r="AB245" s="2348">
        <f>IFERROR(AB243/AB244,0)</f>
        <v>0</v>
      </c>
      <c r="AC245" s="2348"/>
      <c r="AD245" s="2348"/>
      <c r="AE245" s="2348"/>
      <c r="AF245" s="2348"/>
      <c r="AG245" s="2348"/>
      <c r="AH245" s="451"/>
      <c r="AI245" s="451"/>
      <c r="AJ245" s="451"/>
      <c r="AK245" s="451"/>
    </row>
    <row r="246" spans="1:37">
      <c r="A246" s="1196"/>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200"/>
      <c r="Z246" s="1200"/>
      <c r="AA246" s="1200"/>
      <c r="AB246" s="1200"/>
      <c r="AC246" s="385"/>
      <c r="AD246" s="385"/>
      <c r="AE246" s="451"/>
      <c r="AF246" s="451"/>
      <c r="AG246" s="451"/>
      <c r="AH246" s="451"/>
      <c r="AI246" s="451"/>
      <c r="AJ246" s="451"/>
      <c r="AK246" s="451"/>
    </row>
    <row r="247" spans="1:37">
      <c r="A247" s="1196"/>
      <c r="B247" s="332" t="s">
        <v>2263</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200"/>
      <c r="Z247" s="1200"/>
      <c r="AA247" s="1200"/>
      <c r="AB247" s="2347">
        <f>MAX(AB240,AB245)</f>
        <v>0</v>
      </c>
      <c r="AC247" s="2347"/>
      <c r="AD247" s="2347"/>
      <c r="AE247" s="2347"/>
      <c r="AF247" s="2347"/>
      <c r="AG247" s="2347"/>
      <c r="AH247" s="451"/>
      <c r="AI247" s="451"/>
      <c r="AJ247" s="451"/>
      <c r="AK247" s="451"/>
    </row>
    <row r="248" spans="1:37">
      <c r="A248" s="1196"/>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200"/>
      <c r="Z248" s="1200"/>
      <c r="AA248" s="1200"/>
      <c r="AB248" s="1200"/>
      <c r="AC248" s="385"/>
      <c r="AD248" s="385"/>
      <c r="AE248" s="451"/>
      <c r="AF248" s="451"/>
      <c r="AG248" s="451"/>
      <c r="AH248" s="451"/>
      <c r="AI248" s="451"/>
      <c r="AJ248" s="451"/>
      <c r="AK248" s="451"/>
    </row>
    <row r="249" spans="1:37">
      <c r="A249" s="1196"/>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200"/>
      <c r="Z249" s="1200"/>
      <c r="AA249" s="1200"/>
      <c r="AB249" s="1200"/>
      <c r="AC249" s="385"/>
      <c r="AD249" s="385"/>
      <c r="AE249" s="451"/>
      <c r="AF249" s="451"/>
      <c r="AG249" s="451"/>
      <c r="AH249" s="451"/>
      <c r="AI249" s="451"/>
      <c r="AJ249" s="451"/>
      <c r="AK249" s="451"/>
    </row>
    <row r="250" spans="1:37">
      <c r="A250" s="1196"/>
      <c r="B250" s="332" t="s">
        <v>2264</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200"/>
      <c r="AA250" s="1200"/>
      <c r="AB250" s="2341">
        <f>AB234+AB247</f>
        <v>698160</v>
      </c>
      <c r="AC250" s="2341"/>
      <c r="AD250" s="2341"/>
      <c r="AE250" s="2341"/>
      <c r="AF250" s="2341"/>
      <c r="AG250" s="2341"/>
      <c r="AH250" s="451"/>
      <c r="AI250" s="451"/>
      <c r="AJ250" s="451"/>
      <c r="AK250" s="451"/>
    </row>
    <row r="251" spans="1:37">
      <c r="A251" s="1196"/>
      <c r="B251" s="332" t="s">
        <v>2265</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200"/>
      <c r="AA251" s="1200"/>
      <c r="AB251" s="2512">
        <v>0.05</v>
      </c>
      <c r="AC251" s="2512"/>
      <c r="AD251" s="2512"/>
      <c r="AE251" s="2512"/>
      <c r="AF251" s="2512"/>
      <c r="AG251" s="2512"/>
      <c r="AH251" s="451"/>
      <c r="AI251" s="451"/>
      <c r="AJ251" s="451"/>
      <c r="AK251" s="451"/>
    </row>
    <row r="252" spans="1:37">
      <c r="A252" s="1196"/>
      <c r="B252" s="332" t="s">
        <v>2266</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200"/>
      <c r="AA252" s="1200"/>
      <c r="AB252" s="2513">
        <f>AB250-(AB250*AB251)</f>
        <v>663252</v>
      </c>
      <c r="AC252" s="2513"/>
      <c r="AD252" s="2513"/>
      <c r="AE252" s="2513"/>
      <c r="AF252" s="2513"/>
      <c r="AG252" s="2513"/>
      <c r="AH252" s="451"/>
      <c r="AI252" s="451"/>
      <c r="AJ252" s="451"/>
      <c r="AK252" s="451"/>
    </row>
    <row r="253" spans="1:37">
      <c r="A253" s="1196"/>
      <c r="B253" s="332" t="s">
        <v>2267</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199"/>
      <c r="Z253" s="1200"/>
      <c r="AA253" s="1200"/>
      <c r="AB253" s="385"/>
      <c r="AC253" s="385"/>
      <c r="AD253" s="385"/>
      <c r="AE253" s="451"/>
      <c r="AF253" s="451"/>
      <c r="AG253" s="451"/>
      <c r="AH253" s="451"/>
      <c r="AI253" s="451"/>
      <c r="AJ253" s="451"/>
      <c r="AK253" s="451"/>
    </row>
    <row r="254" spans="1:37">
      <c r="A254" s="1196"/>
      <c r="B254" s="332" t="s">
        <v>2268</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200"/>
      <c r="AA254" s="1200"/>
      <c r="AB254" s="2341">
        <f>AB252/AB258</f>
        <v>576740.86956521741</v>
      </c>
      <c r="AC254" s="2341"/>
      <c r="AD254" s="2341"/>
      <c r="AE254" s="2341"/>
      <c r="AF254" s="2341"/>
      <c r="AG254" s="2341"/>
      <c r="AH254" s="451"/>
      <c r="AI254" s="451"/>
      <c r="AJ254" s="451"/>
      <c r="AK254" s="451"/>
    </row>
    <row r="255" spans="1:37">
      <c r="A255" s="1196"/>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200"/>
      <c r="AA255" s="1200"/>
      <c r="AB255" s="385"/>
      <c r="AC255" s="385"/>
      <c r="AD255" s="385"/>
      <c r="AE255" s="451"/>
      <c r="AF255" s="451"/>
      <c r="AG255" s="451"/>
      <c r="AH255" s="451"/>
      <c r="AI255" s="451"/>
      <c r="AJ255" s="451"/>
      <c r="AK255" s="451"/>
    </row>
    <row r="256" spans="1:37">
      <c r="A256" s="1196"/>
      <c r="B256" s="332" t="s">
        <v>2269</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200"/>
      <c r="AA256" s="1200"/>
      <c r="AB256" s="2524">
        <v>15</v>
      </c>
      <c r="AC256" s="2524"/>
      <c r="AD256" s="2524"/>
      <c r="AE256" s="2524"/>
      <c r="AF256" s="2524"/>
      <c r="AG256" s="2524"/>
      <c r="AH256" s="451"/>
      <c r="AI256" s="451"/>
      <c r="AJ256" s="451"/>
      <c r="AK256" s="451"/>
    </row>
    <row r="257" spans="1:37">
      <c r="A257" s="1196"/>
      <c r="B257" s="332" t="s">
        <v>2270</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200"/>
      <c r="AA257" s="1200"/>
      <c r="AB257" s="2515">
        <v>0.04</v>
      </c>
      <c r="AC257" s="2515"/>
      <c r="AD257" s="2515"/>
      <c r="AE257" s="2515"/>
      <c r="AF257" s="2515"/>
      <c r="AG257" s="2515"/>
      <c r="AH257" s="451"/>
      <c r="AI257" s="451"/>
      <c r="AJ257" s="451"/>
      <c r="AK257" s="451"/>
    </row>
    <row r="258" spans="1:37">
      <c r="A258" s="1196"/>
      <c r="B258" s="332" t="s">
        <v>2271</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200"/>
      <c r="AA258" s="1200"/>
      <c r="AB258" s="2516">
        <v>1.1499999999999999</v>
      </c>
      <c r="AC258" s="2516"/>
      <c r="AD258" s="2516"/>
      <c r="AE258" s="2516"/>
      <c r="AF258" s="2516"/>
      <c r="AG258" s="2516"/>
      <c r="AH258" s="451"/>
      <c r="AI258" s="451"/>
      <c r="AJ258" s="451"/>
      <c r="AK258" s="451"/>
    </row>
    <row r="259" spans="1:37">
      <c r="A259" s="1196"/>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200"/>
      <c r="AA259" s="1200"/>
      <c r="AB259" s="385"/>
      <c r="AC259" s="385"/>
      <c r="AD259" s="385"/>
      <c r="AE259" s="451"/>
      <c r="AF259" s="451"/>
      <c r="AG259" s="451"/>
      <c r="AH259" s="451"/>
      <c r="AI259" s="451"/>
      <c r="AJ259" s="451"/>
      <c r="AK259" s="451"/>
    </row>
    <row r="260" spans="1:37" ht="13">
      <c r="A260" s="1196"/>
      <c r="B260" s="668" t="s">
        <v>2272</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200"/>
      <c r="AA260" s="1200"/>
      <c r="AB260" s="2505">
        <f>PV(AB257/12,AB256*12,-AB254/12, ,0)</f>
        <v>6497569.7813166231</v>
      </c>
      <c r="AC260" s="2506"/>
      <c r="AD260" s="2506"/>
      <c r="AE260" s="2506"/>
      <c r="AF260" s="2506"/>
      <c r="AG260" s="2507"/>
      <c r="AH260" s="451"/>
      <c r="AI260" s="451"/>
      <c r="AJ260" s="451"/>
      <c r="AK260" s="451"/>
    </row>
    <row r="261" spans="1:37" ht="13">
      <c r="A261" s="1196"/>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200"/>
      <c r="AA261" s="1200"/>
      <c r="AB261" s="678"/>
      <c r="AC261" s="678"/>
      <c r="AD261" s="678"/>
      <c r="AE261" s="678"/>
      <c r="AF261" s="678"/>
      <c r="AG261" s="678"/>
      <c r="AH261" s="451"/>
      <c r="AI261" s="451"/>
      <c r="AJ261" s="451"/>
      <c r="AK261" s="451"/>
    </row>
    <row r="262" spans="1:37" ht="13">
      <c r="A262" s="1196"/>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200"/>
      <c r="AA262" s="1200"/>
      <c r="AB262" s="678"/>
      <c r="AC262" s="678"/>
      <c r="AD262" s="678"/>
      <c r="AE262" s="678"/>
      <c r="AF262" s="678"/>
      <c r="AG262" s="678"/>
      <c r="AH262" s="451"/>
      <c r="AI262" s="451"/>
      <c r="AJ262" s="451"/>
      <c r="AK262" s="451"/>
    </row>
    <row r="263" spans="1:37" ht="13">
      <c r="A263" s="1196"/>
      <c r="B263" s="671" t="s">
        <v>2273</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200"/>
      <c r="Z263" s="1200"/>
      <c r="AA263" s="1200"/>
      <c r="AB263" s="1200"/>
      <c r="AC263" s="385"/>
      <c r="AD263" s="385"/>
      <c r="AE263" s="451"/>
      <c r="AF263" s="451"/>
      <c r="AG263" s="451"/>
      <c r="AH263" s="451"/>
      <c r="AI263" s="451"/>
      <c r="AJ263" s="451"/>
      <c r="AK263" s="451"/>
    </row>
    <row r="264" spans="1:37">
      <c r="A264" s="1196"/>
      <c r="B264" s="1196" t="s">
        <v>2274</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200"/>
      <c r="Z264" s="1200"/>
      <c r="AA264" s="1200"/>
      <c r="AB264" s="1200"/>
      <c r="AC264" s="385"/>
      <c r="AD264" s="385"/>
      <c r="AE264" s="451"/>
      <c r="AF264" s="451"/>
      <c r="AG264" s="451"/>
      <c r="AH264" s="451"/>
      <c r="AI264" s="451"/>
      <c r="AJ264" s="451"/>
      <c r="AK264" s="451"/>
    </row>
    <row r="265" spans="1:37">
      <c r="A265" s="1196"/>
      <c r="B265" s="1196" t="s">
        <v>2275</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200"/>
      <c r="Z265" s="1200"/>
      <c r="AA265" s="1200"/>
      <c r="AB265" s="1200"/>
      <c r="AC265" s="385"/>
      <c r="AD265" s="385"/>
      <c r="AE265" s="451"/>
      <c r="AF265" s="451"/>
      <c r="AG265" s="451"/>
      <c r="AH265" s="451"/>
      <c r="AI265" s="451"/>
      <c r="AJ265" s="451"/>
      <c r="AK265" s="451"/>
    </row>
    <row r="266" spans="1:37">
      <c r="A266" s="1196"/>
      <c r="B266" s="1196" t="s">
        <v>2276</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200"/>
      <c r="Z266" s="1200"/>
      <c r="AA266" s="1200"/>
      <c r="AB266" s="2509">
        <f>IFERROR(('Sources and Uses Budget'!D105/'Sources and Uses Budget'!B105),0)</f>
        <v>0</v>
      </c>
      <c r="AC266" s="2510"/>
      <c r="AD266" s="2510"/>
      <c r="AE266" s="2510"/>
      <c r="AF266" s="2510"/>
      <c r="AG266" s="2511"/>
      <c r="AH266" s="679"/>
      <c r="AI266" s="679"/>
      <c r="AJ266" s="679"/>
      <c r="AK266" s="451"/>
    </row>
    <row r="267" spans="1:37">
      <c r="A267" s="1196"/>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200"/>
      <c r="Z267" s="1200"/>
      <c r="AA267" s="1200"/>
      <c r="AB267" s="1200"/>
      <c r="AC267" s="385"/>
      <c r="AD267" s="385"/>
      <c r="AE267" s="451"/>
      <c r="AF267" s="451"/>
      <c r="AG267" s="451"/>
      <c r="AH267" s="451"/>
      <c r="AI267" s="451"/>
      <c r="AJ267" s="451"/>
      <c r="AK267" s="451"/>
    </row>
    <row r="268" spans="1:37" ht="13">
      <c r="A268" s="462"/>
      <c r="B268" s="1139" t="s">
        <v>2277</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2355">
        <f>AD211*(1-AB266)</f>
        <v>6497569.7813166231</v>
      </c>
      <c r="AH268" s="2355"/>
      <c r="AI268" s="2355"/>
      <c r="AJ268" s="2355"/>
      <c r="AK268" s="2355"/>
    </row>
    <row r="269" spans="1:37">
      <c r="A269" s="462"/>
      <c r="B269" s="465" t="s">
        <v>2278</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2355">
        <f>'Sources and Uses Budget'!C105</f>
        <v>43095977</v>
      </c>
      <c r="AH269" s="2355"/>
      <c r="AI269" s="2355"/>
      <c r="AJ269" s="2355"/>
      <c r="AK269" s="2355"/>
    </row>
    <row r="270" spans="1:37">
      <c r="A270" s="462"/>
      <c r="B270" s="464" t="s">
        <v>1636</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2501">
        <f>ROUNDDOWN(IF(AND(C292="Yes",AK84=10),((AG268*2)/AG269),AG268/AG269),2)</f>
        <v>0.15</v>
      </c>
      <c r="AH270" s="2501"/>
      <c r="AI270" s="2501"/>
      <c r="AJ270" s="2501"/>
      <c r="AK270" s="2501"/>
    </row>
    <row r="271" spans="1:37" ht="13">
      <c r="A271" s="462"/>
      <c r="B271" s="779" t="s">
        <v>2279</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8"/>
      <c r="AH271" s="778"/>
      <c r="AI271" s="778"/>
      <c r="AJ271" s="778"/>
      <c r="AK271" s="778"/>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ht="13">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2280</v>
      </c>
      <c r="AK273" s="2490">
        <f>IFERROR(IF(AG270=0,0,IF((AG270*100)&gt;8,8,(AG270*100))),0)</f>
        <v>8</v>
      </c>
      <c r="AL273" s="2490"/>
      <c r="AM273" s="2491"/>
    </row>
    <row r="274" spans="1:52" ht="13"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ht="13">
      <c r="A276" s="387" t="s">
        <v>2281</v>
      </c>
      <c r="B276" s="387" t="s">
        <v>2282</v>
      </c>
      <c r="C276" s="38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204" t="s">
        <v>2145</v>
      </c>
      <c r="AI276" s="398"/>
      <c r="AJ276" s="398"/>
      <c r="AK276" s="398"/>
      <c r="AL276" s="398"/>
      <c r="AM276" s="398"/>
      <c r="AO276" s="398"/>
    </row>
    <row r="277" spans="1:52" ht="14.25" customHeight="1">
      <c r="A277" s="1204"/>
      <c r="AI277" s="399"/>
      <c r="AJ277" s="398"/>
      <c r="AK277" s="398"/>
      <c r="AL277" s="398"/>
      <c r="AM277" s="398"/>
      <c r="AO277" s="398"/>
    </row>
    <row r="278" spans="1:52" ht="13.75" customHeight="1">
      <c r="A278" s="398"/>
      <c r="B278" s="438"/>
      <c r="C278" s="2372" t="s">
        <v>847</v>
      </c>
      <c r="D278" s="2372"/>
      <c r="E278" s="395"/>
      <c r="F278" s="2324" t="s">
        <v>2283</v>
      </c>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6"/>
      <c r="AE278" s="398"/>
      <c r="AF278" s="475"/>
      <c r="AG278" s="2499" t="s">
        <v>2221</v>
      </c>
      <c r="AH278" s="2499"/>
      <c r="AI278" s="2499"/>
      <c r="AJ278" s="2499"/>
      <c r="AK278" s="398"/>
      <c r="AL278" s="398"/>
      <c r="AM278" s="398"/>
      <c r="AO278" s="398"/>
    </row>
    <row r="279" spans="1:52" ht="13.75" customHeight="1">
      <c r="A279" s="398"/>
      <c r="B279" s="438"/>
      <c r="C279" s="476"/>
      <c r="D279" s="398"/>
      <c r="E279" s="395"/>
      <c r="F279" s="2327"/>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9"/>
      <c r="AE279" s="398"/>
      <c r="AF279" s="475"/>
      <c r="AG279" s="475"/>
      <c r="AH279" s="475"/>
      <c r="AI279" s="475"/>
      <c r="AJ279" s="398"/>
      <c r="AK279" s="398"/>
      <c r="AL279" s="398"/>
      <c r="AM279" s="398"/>
      <c r="AO279" s="398"/>
    </row>
    <row r="280" spans="1:52">
      <c r="A280" s="398"/>
      <c r="B280" s="438"/>
      <c r="C280" s="476"/>
      <c r="D280" s="398"/>
      <c r="E280" s="395"/>
      <c r="F280" s="2327"/>
      <c r="G280" s="2328"/>
      <c r="H280" s="2328"/>
      <c r="I280" s="2328"/>
      <c r="J280" s="2328"/>
      <c r="K280" s="2328"/>
      <c r="L280" s="2328"/>
      <c r="M280" s="2328"/>
      <c r="N280" s="2328"/>
      <c r="O280" s="2328"/>
      <c r="P280" s="2328"/>
      <c r="Q280" s="2328"/>
      <c r="R280" s="2328"/>
      <c r="S280" s="2328"/>
      <c r="T280" s="2328"/>
      <c r="U280" s="2328"/>
      <c r="V280" s="2328"/>
      <c r="W280" s="2328"/>
      <c r="X280" s="2328"/>
      <c r="Y280" s="2328"/>
      <c r="Z280" s="2328"/>
      <c r="AA280" s="2328"/>
      <c r="AB280" s="2328"/>
      <c r="AC280" s="2328"/>
      <c r="AD280" s="2329"/>
      <c r="AE280" s="398"/>
      <c r="AF280" s="475"/>
      <c r="AG280" s="475"/>
      <c r="AH280" s="475"/>
      <c r="AI280" s="475"/>
      <c r="AJ280" s="398"/>
      <c r="AK280" s="398"/>
      <c r="AL280" s="398"/>
      <c r="AM280" s="398"/>
      <c r="AO280" s="398"/>
      <c r="AP280" s="477"/>
    </row>
    <row r="281" spans="1:52">
      <c r="A281" s="398"/>
      <c r="B281" s="438"/>
      <c r="C281" s="476"/>
      <c r="D281" s="398"/>
      <c r="E281" s="395"/>
      <c r="F281" s="2327"/>
      <c r="G281" s="2328"/>
      <c r="H281" s="2328"/>
      <c r="I281" s="2328"/>
      <c r="J281" s="2328"/>
      <c r="K281" s="2328"/>
      <c r="L281" s="2328"/>
      <c r="M281" s="2328"/>
      <c r="N281" s="2328"/>
      <c r="O281" s="2328"/>
      <c r="P281" s="2328"/>
      <c r="Q281" s="2328"/>
      <c r="R281" s="2328"/>
      <c r="S281" s="2328"/>
      <c r="T281" s="2328"/>
      <c r="U281" s="2328"/>
      <c r="V281" s="2328"/>
      <c r="W281" s="2328"/>
      <c r="X281" s="2328"/>
      <c r="Y281" s="2328"/>
      <c r="Z281" s="2328"/>
      <c r="AA281" s="2328"/>
      <c r="AB281" s="2328"/>
      <c r="AC281" s="2328"/>
      <c r="AD281" s="2329"/>
      <c r="AE281" s="398"/>
      <c r="AF281" s="475"/>
      <c r="AG281" s="475"/>
      <c r="AH281" s="475"/>
      <c r="AI281" s="475"/>
      <c r="AJ281" s="398"/>
      <c r="AK281" s="398"/>
      <c r="AL281" s="398"/>
      <c r="AM281" s="398"/>
      <c r="AO281" s="398"/>
      <c r="AP281" s="477"/>
    </row>
    <row r="282" spans="1:52" ht="13.75" customHeight="1">
      <c r="A282" s="398"/>
      <c r="B282" s="438"/>
      <c r="C282" s="2500"/>
      <c r="D282" s="2500"/>
      <c r="E282" s="395"/>
      <c r="F282" s="2330"/>
      <c r="G282" s="2331"/>
      <c r="H282" s="2331"/>
      <c r="I282" s="2331"/>
      <c r="J282" s="2331"/>
      <c r="K282" s="2331"/>
      <c r="L282" s="2331"/>
      <c r="M282" s="2331"/>
      <c r="N282" s="2331"/>
      <c r="O282" s="2331"/>
      <c r="P282" s="2331"/>
      <c r="Q282" s="2331"/>
      <c r="R282" s="2331"/>
      <c r="S282" s="2331"/>
      <c r="T282" s="2331"/>
      <c r="U282" s="2331"/>
      <c r="V282" s="2331"/>
      <c r="W282" s="2331"/>
      <c r="X282" s="2331"/>
      <c r="Y282" s="2331"/>
      <c r="Z282" s="2331"/>
      <c r="AA282" s="2331"/>
      <c r="AB282" s="2331"/>
      <c r="AC282" s="2331"/>
      <c r="AD282" s="2332"/>
      <c r="AE282" s="398"/>
      <c r="AF282" s="475"/>
      <c r="AG282" s="2499"/>
      <c r="AH282" s="2499"/>
      <c r="AI282" s="2499"/>
      <c r="AJ282" s="2499"/>
      <c r="AK282" s="398"/>
      <c r="AL282" s="398"/>
      <c r="AM282" s="398"/>
    </row>
    <row r="283" spans="1:52" ht="13.75" hidden="1" customHeight="1">
      <c r="A283" s="398"/>
      <c r="C283" s="445"/>
      <c r="D283" s="445"/>
      <c r="E283" s="445"/>
      <c r="F283" s="811"/>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3"/>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ht="13">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2284</v>
      </c>
      <c r="AK285" s="2490">
        <f>IF($C$278="yes",10,0)</f>
        <v>10</v>
      </c>
      <c r="AL285" s="2490"/>
      <c r="AM285" s="2491"/>
      <c r="AN285" s="44"/>
    </row>
    <row r="286" spans="1:52" ht="13" thickBot="1"/>
    <row r="287" spans="1:52" ht="13"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ht="13">
      <c r="A288" s="387" t="s">
        <v>2285</v>
      </c>
      <c r="B288" s="387" t="s">
        <v>2286</v>
      </c>
      <c r="AH288" s="1204" t="s">
        <v>2145</v>
      </c>
    </row>
    <row r="289" spans="1:49" ht="15" customHeight="1">
      <c r="B289" s="388"/>
    </row>
    <row r="290" spans="1:49" ht="15" customHeight="1">
      <c r="B290" s="388" t="s">
        <v>2146</v>
      </c>
    </row>
    <row r="291" spans="1:49" ht="13">
      <c r="B291" s="398"/>
      <c r="C291" s="1197"/>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574" t="s">
        <v>2287</v>
      </c>
      <c r="B292" s="1574"/>
      <c r="C292" s="2323" t="s">
        <v>798</v>
      </c>
      <c r="D292" s="2372"/>
      <c r="E292" s="395"/>
      <c r="F292" s="2492" t="s">
        <v>2288</v>
      </c>
      <c r="G292" s="2493"/>
      <c r="H292" s="2493"/>
      <c r="I292" s="2493"/>
      <c r="J292" s="2493"/>
      <c r="K292" s="2493"/>
      <c r="L292" s="2493"/>
      <c r="M292" s="2493"/>
      <c r="N292" s="2493"/>
      <c r="O292" s="2493"/>
      <c r="P292" s="2493"/>
      <c r="Q292" s="2493"/>
      <c r="R292" s="2493"/>
      <c r="S292" s="2493"/>
      <c r="T292" s="2493"/>
      <c r="U292" s="2493"/>
      <c r="V292" s="2493"/>
      <c r="W292" s="2493"/>
      <c r="X292" s="2493"/>
      <c r="Y292" s="2493"/>
      <c r="Z292" s="2493"/>
      <c r="AA292" s="2493"/>
      <c r="AB292" s="2493"/>
      <c r="AC292" s="2493"/>
      <c r="AD292" s="2494"/>
      <c r="AE292" s="481"/>
      <c r="AF292" s="398"/>
      <c r="AG292" s="2495" t="s">
        <v>2289</v>
      </c>
      <c r="AH292" s="2495"/>
      <c r="AI292" s="2495"/>
      <c r="AJ292" s="2495"/>
      <c r="AK292" s="2495"/>
      <c r="AL292" s="398"/>
      <c r="AM292" s="398"/>
      <c r="AN292" s="44"/>
      <c r="AO292" s="11"/>
      <c r="AP292" s="23"/>
      <c r="AS292" s="416"/>
      <c r="AT292" s="416"/>
      <c r="AU292" s="416"/>
      <c r="AV292" s="25"/>
      <c r="AW292" s="25"/>
    </row>
    <row r="293" spans="1:49" ht="13">
      <c r="A293" s="1197"/>
      <c r="B293" s="438"/>
      <c r="F293" s="2350"/>
      <c r="G293" s="2351"/>
      <c r="H293" s="2351"/>
      <c r="I293" s="2351"/>
      <c r="J293" s="2351"/>
      <c r="K293" s="2351"/>
      <c r="L293" s="2351"/>
      <c r="M293" s="2351"/>
      <c r="N293" s="2351"/>
      <c r="O293" s="2351"/>
      <c r="P293" s="2351"/>
      <c r="Q293" s="2351"/>
      <c r="R293" s="2351"/>
      <c r="S293" s="2351"/>
      <c r="T293" s="2351"/>
      <c r="U293" s="2351"/>
      <c r="V293" s="2351"/>
      <c r="W293" s="2351"/>
      <c r="X293" s="2351"/>
      <c r="Y293" s="2351"/>
      <c r="Z293" s="2351"/>
      <c r="AA293" s="2351"/>
      <c r="AB293" s="2351"/>
      <c r="AC293" s="2351"/>
      <c r="AD293" s="2352"/>
      <c r="AE293" s="481"/>
      <c r="AF293" s="399"/>
      <c r="AH293" s="399"/>
      <c r="AI293" s="399"/>
      <c r="AJ293" s="398"/>
      <c r="AK293" s="398"/>
      <c r="AL293" s="398"/>
      <c r="AM293" s="398"/>
      <c r="AN293" s="44"/>
      <c r="AO293" s="11"/>
      <c r="AP293" s="398">
        <f>IF($C$292="yes",10,IF(C292="50% Met",9,0))</f>
        <v>0</v>
      </c>
      <c r="AS293" s="416"/>
      <c r="AT293" s="416"/>
      <c r="AU293" s="416"/>
      <c r="AV293" s="25"/>
      <c r="AW293" s="25"/>
    </row>
    <row r="294" spans="1:49" ht="15" customHeight="1">
      <c r="A294" s="1197"/>
      <c r="B294" s="438"/>
      <c r="F294" s="2350"/>
      <c r="G294" s="2351"/>
      <c r="H294" s="2351"/>
      <c r="I294" s="2351"/>
      <c r="J294" s="2351"/>
      <c r="K294" s="2351"/>
      <c r="L294" s="2351"/>
      <c r="M294" s="2351"/>
      <c r="N294" s="2351"/>
      <c r="O294" s="2351"/>
      <c r="P294" s="2351"/>
      <c r="Q294" s="2351"/>
      <c r="R294" s="2351"/>
      <c r="S294" s="2351"/>
      <c r="T294" s="2351"/>
      <c r="U294" s="2351"/>
      <c r="V294" s="2351"/>
      <c r="W294" s="2351"/>
      <c r="X294" s="2351"/>
      <c r="Y294" s="2351"/>
      <c r="Z294" s="2351"/>
      <c r="AA294" s="2351"/>
      <c r="AB294" s="2351"/>
      <c r="AC294" s="2351"/>
      <c r="AD294" s="2352"/>
      <c r="AE294" s="481"/>
      <c r="AF294" s="399"/>
      <c r="AH294" s="399"/>
      <c r="AI294" s="399"/>
      <c r="AJ294" s="398"/>
      <c r="AK294" s="398"/>
      <c r="AL294" s="398"/>
      <c r="AM294" s="398"/>
      <c r="AN294" s="44"/>
      <c r="AO294" s="11"/>
      <c r="AP294" s="398">
        <f>IF($C$302="yes",9,0)</f>
        <v>9</v>
      </c>
      <c r="AS294" s="416"/>
      <c r="AT294" s="416"/>
      <c r="AU294" s="416"/>
      <c r="AV294" s="25"/>
      <c r="AW294" s="25"/>
    </row>
    <row r="295" spans="1:49" ht="12.75" customHeight="1">
      <c r="A295" s="1197"/>
      <c r="B295" s="438"/>
      <c r="F295" s="2350" t="s">
        <v>2290</v>
      </c>
      <c r="G295" s="2351"/>
      <c r="H295" s="2351"/>
      <c r="I295" s="2351"/>
      <c r="J295" s="2351"/>
      <c r="K295" s="2351"/>
      <c r="L295" s="2351"/>
      <c r="M295" s="2351"/>
      <c r="N295" s="2351"/>
      <c r="O295" s="2351"/>
      <c r="P295" s="2351"/>
      <c r="Q295" s="2351"/>
      <c r="R295" s="2351"/>
      <c r="S295" s="2351"/>
      <c r="T295" s="2351"/>
      <c r="U295" s="2351"/>
      <c r="V295" s="2351"/>
      <c r="W295" s="2351"/>
      <c r="X295" s="2351"/>
      <c r="Y295" s="2351"/>
      <c r="Z295" s="2351"/>
      <c r="AA295" s="2351"/>
      <c r="AB295" s="2351"/>
      <c r="AC295" s="2351"/>
      <c r="AD295" s="2352"/>
      <c r="AE295" s="481"/>
      <c r="AF295" s="399"/>
      <c r="AH295" s="399"/>
      <c r="AI295" s="399"/>
      <c r="AJ295" s="398"/>
      <c r="AK295" s="398"/>
      <c r="AL295" s="398"/>
      <c r="AM295" s="398"/>
      <c r="AN295" s="44"/>
      <c r="AO295" s="11"/>
      <c r="AP295" s="452">
        <f>MAX(AP293,AP294)</f>
        <v>9</v>
      </c>
      <c r="AQ295" s="419" t="s">
        <v>2149</v>
      </c>
      <c r="AS295" s="416"/>
      <c r="AT295" s="416"/>
      <c r="AU295" s="416"/>
      <c r="AV295" s="25"/>
      <c r="AW295" s="25"/>
    </row>
    <row r="296" spans="1:49" ht="13">
      <c r="A296" s="1197"/>
      <c r="B296" s="438"/>
      <c r="F296" s="2350"/>
      <c r="G296" s="2351"/>
      <c r="H296" s="2351"/>
      <c r="I296" s="2351"/>
      <c r="J296" s="2351"/>
      <c r="K296" s="2351"/>
      <c r="L296" s="2351"/>
      <c r="M296" s="2351"/>
      <c r="N296" s="2351"/>
      <c r="O296" s="2351"/>
      <c r="P296" s="2351"/>
      <c r="Q296" s="2351"/>
      <c r="R296" s="2351"/>
      <c r="S296" s="2351"/>
      <c r="T296" s="2351"/>
      <c r="U296" s="2351"/>
      <c r="V296" s="2351"/>
      <c r="W296" s="2351"/>
      <c r="X296" s="2351"/>
      <c r="Y296" s="2351"/>
      <c r="Z296" s="2351"/>
      <c r="AA296" s="2351"/>
      <c r="AB296" s="2351"/>
      <c r="AC296" s="2351"/>
      <c r="AD296" s="2352"/>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2350" t="s">
        <v>2291</v>
      </c>
      <c r="G297" s="2351"/>
      <c r="H297" s="2351"/>
      <c r="I297" s="2351"/>
      <c r="J297" s="2351"/>
      <c r="K297" s="2351"/>
      <c r="L297" s="2351"/>
      <c r="M297" s="2351"/>
      <c r="N297" s="2351"/>
      <c r="O297" s="2351"/>
      <c r="P297" s="2351"/>
      <c r="Q297" s="2351"/>
      <c r="R297" s="2351"/>
      <c r="S297" s="2351"/>
      <c r="T297" s="2351"/>
      <c r="U297" s="2351"/>
      <c r="V297" s="2351"/>
      <c r="W297" s="2351"/>
      <c r="X297" s="2351"/>
      <c r="Y297" s="2351"/>
      <c r="Z297" s="2351"/>
      <c r="AA297" s="2351"/>
      <c r="AB297" s="2351"/>
      <c r="AC297" s="2351"/>
      <c r="AD297" s="2352"/>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2350"/>
      <c r="G298" s="2351"/>
      <c r="H298" s="2351"/>
      <c r="I298" s="2351"/>
      <c r="J298" s="2351"/>
      <c r="K298" s="2351"/>
      <c r="L298" s="2351"/>
      <c r="M298" s="2351"/>
      <c r="N298" s="2351"/>
      <c r="O298" s="2351"/>
      <c r="P298" s="2351"/>
      <c r="Q298" s="2351"/>
      <c r="R298" s="2351"/>
      <c r="S298" s="2351"/>
      <c r="T298" s="2351"/>
      <c r="U298" s="2351"/>
      <c r="V298" s="2351"/>
      <c r="W298" s="2351"/>
      <c r="X298" s="2351"/>
      <c r="Y298" s="2351"/>
      <c r="Z298" s="2351"/>
      <c r="AA298" s="2351"/>
      <c r="AB298" s="2351"/>
      <c r="AC298" s="2351"/>
      <c r="AD298" s="2352"/>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2350" t="s">
        <v>2292</v>
      </c>
      <c r="G299" s="2351"/>
      <c r="H299" s="2351"/>
      <c r="I299" s="2351"/>
      <c r="J299" s="2351"/>
      <c r="K299" s="2351"/>
      <c r="L299" s="2351"/>
      <c r="M299" s="2351"/>
      <c r="N299" s="2351"/>
      <c r="O299" s="2351"/>
      <c r="P299" s="2351"/>
      <c r="Q299" s="2351"/>
      <c r="R299" s="2351"/>
      <c r="S299" s="2351"/>
      <c r="T299" s="2351"/>
      <c r="U299" s="2351"/>
      <c r="V299" s="2351"/>
      <c r="W299" s="2351"/>
      <c r="X299" s="2351"/>
      <c r="Y299" s="2351"/>
      <c r="Z299" s="2351"/>
      <c r="AA299" s="2351"/>
      <c r="AB299" s="2351"/>
      <c r="AC299" s="2351"/>
      <c r="AD299" s="2352"/>
      <c r="AE299" s="1200"/>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2353"/>
      <c r="G300" s="2354"/>
      <c r="H300" s="2354"/>
      <c r="I300" s="2354"/>
      <c r="J300" s="2354"/>
      <c r="K300" s="2354"/>
      <c r="L300" s="2354"/>
      <c r="M300" s="2354"/>
      <c r="N300" s="2354"/>
      <c r="O300" s="2354"/>
      <c r="P300" s="2354"/>
      <c r="Q300" s="2354"/>
      <c r="R300" s="2354"/>
      <c r="S300" s="2354"/>
      <c r="T300" s="2354"/>
      <c r="U300" s="2354"/>
      <c r="V300" s="2354"/>
      <c r="W300" s="2354"/>
      <c r="X300" s="2354"/>
      <c r="Y300" s="2354"/>
      <c r="Z300" s="2354"/>
      <c r="AA300" s="2354"/>
      <c r="AB300" s="2354"/>
      <c r="AC300" s="2354"/>
      <c r="AD300" s="2489"/>
      <c r="AE300" s="1200"/>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200"/>
      <c r="G301" s="1200"/>
      <c r="H301" s="1200"/>
      <c r="I301" s="1200"/>
      <c r="J301" s="1200"/>
      <c r="K301" s="1200"/>
      <c r="L301" s="1200"/>
      <c r="M301" s="1200"/>
      <c r="N301" s="1200"/>
      <c r="O301" s="1200"/>
      <c r="P301" s="1200"/>
      <c r="Q301" s="1200"/>
      <c r="R301" s="1200"/>
      <c r="S301" s="1200"/>
      <c r="T301" s="1200"/>
      <c r="U301" s="1200"/>
      <c r="V301" s="1200"/>
      <c r="W301" s="1200"/>
      <c r="X301" s="1200"/>
      <c r="Y301" s="1200"/>
      <c r="Z301" s="1200"/>
      <c r="AA301" s="1200"/>
      <c r="AB301" s="1200"/>
      <c r="AC301" s="1200"/>
      <c r="AD301" s="1200"/>
      <c r="AE301" s="399"/>
      <c r="AF301" s="399"/>
      <c r="AG301" s="399"/>
      <c r="AH301" s="399"/>
      <c r="AI301" s="399"/>
      <c r="AJ301" s="398"/>
      <c r="AK301" s="398"/>
      <c r="AL301" s="398"/>
      <c r="AM301" s="398"/>
      <c r="AN301" s="44"/>
      <c r="AO301" s="11"/>
      <c r="AS301" s="416"/>
      <c r="AT301" s="416"/>
      <c r="AU301" s="416"/>
      <c r="AV301" s="25"/>
      <c r="AW301" s="25"/>
    </row>
    <row r="302" spans="1:49" ht="15" customHeight="1">
      <c r="A302" s="1574" t="s">
        <v>2293</v>
      </c>
      <c r="B302" s="1574"/>
      <c r="C302" s="2372" t="s">
        <v>847</v>
      </c>
      <c r="D302" s="2372"/>
      <c r="E302" s="395"/>
      <c r="F302" s="482" t="s">
        <v>2294</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388" t="s">
        <v>2295</v>
      </c>
      <c r="AH302" s="399"/>
      <c r="AI302" s="399"/>
      <c r="AJ302" s="398"/>
      <c r="AK302" s="398"/>
      <c r="AL302" s="398"/>
      <c r="AM302" s="398"/>
      <c r="AN302" s="485"/>
      <c r="AO302" s="11"/>
    </row>
    <row r="303" spans="1:49">
      <c r="A303" s="398"/>
      <c r="B303" s="399"/>
      <c r="C303" s="398"/>
      <c r="D303" s="399"/>
      <c r="E303" s="398"/>
      <c r="F303" s="2474" t="s">
        <v>2296</v>
      </c>
      <c r="G303" s="2475"/>
      <c r="H303" s="2475"/>
      <c r="I303" s="2475"/>
      <c r="J303" s="2475"/>
      <c r="K303" s="2475"/>
      <c r="L303" s="2475"/>
      <c r="M303" s="2475"/>
      <c r="N303" s="2475"/>
      <c r="O303" s="2475"/>
      <c r="P303" s="2475"/>
      <c r="Q303" s="2475"/>
      <c r="R303" s="2475"/>
      <c r="S303" s="2475"/>
      <c r="T303" s="2475"/>
      <c r="U303" s="2475"/>
      <c r="V303" s="2475"/>
      <c r="W303" s="2475"/>
      <c r="X303" s="2475"/>
      <c r="Y303" s="2475"/>
      <c r="Z303" s="2475"/>
      <c r="AA303" s="2475"/>
      <c r="AB303" s="2475"/>
      <c r="AC303" s="2475"/>
      <c r="AD303" s="2476"/>
      <c r="AE303" s="399"/>
      <c r="AF303" s="399"/>
      <c r="AG303" s="399"/>
      <c r="AH303" s="399"/>
      <c r="AI303" s="399"/>
      <c r="AJ303" s="398"/>
      <c r="AK303" s="398"/>
      <c r="AL303" s="398"/>
      <c r="AM303" s="398"/>
      <c r="AR303" s="486"/>
    </row>
    <row r="304" spans="1:49" ht="15" customHeight="1">
      <c r="A304" s="398"/>
      <c r="B304" s="399"/>
      <c r="C304" s="398"/>
      <c r="D304" s="399"/>
      <c r="E304" s="398"/>
      <c r="F304" s="2474"/>
      <c r="G304" s="2475"/>
      <c r="H304" s="2475"/>
      <c r="I304" s="2475"/>
      <c r="J304" s="2475"/>
      <c r="K304" s="2475"/>
      <c r="L304" s="2475"/>
      <c r="M304" s="2475"/>
      <c r="N304" s="2475"/>
      <c r="O304" s="2475"/>
      <c r="P304" s="2475"/>
      <c r="Q304" s="2475"/>
      <c r="R304" s="2475"/>
      <c r="S304" s="2475"/>
      <c r="T304" s="2475"/>
      <c r="U304" s="2475"/>
      <c r="V304" s="2475"/>
      <c r="W304" s="2475"/>
      <c r="X304" s="2475"/>
      <c r="Y304" s="2475"/>
      <c r="Z304" s="2475"/>
      <c r="AA304" s="2475"/>
      <c r="AB304" s="2475"/>
      <c r="AC304" s="2475"/>
      <c r="AD304" s="2476"/>
      <c r="AE304" s="399"/>
      <c r="AF304" s="399"/>
      <c r="AG304" s="399"/>
      <c r="AH304" s="399"/>
      <c r="AI304" s="399"/>
      <c r="AJ304" s="398"/>
      <c r="AK304" s="398"/>
      <c r="AL304" s="398"/>
      <c r="AM304" s="398"/>
      <c r="AR304" s="486"/>
    </row>
    <row r="305" spans="1:44">
      <c r="A305" s="398"/>
      <c r="B305" s="399"/>
      <c r="C305" s="398"/>
      <c r="D305" s="399"/>
      <c r="E305" s="398"/>
      <c r="F305" s="2474"/>
      <c r="G305" s="2475"/>
      <c r="H305" s="2475"/>
      <c r="I305" s="2475"/>
      <c r="J305" s="2475"/>
      <c r="K305" s="2475"/>
      <c r="L305" s="2475"/>
      <c r="M305" s="2475"/>
      <c r="N305" s="2475"/>
      <c r="O305" s="2475"/>
      <c r="P305" s="2475"/>
      <c r="Q305" s="2475"/>
      <c r="R305" s="2475"/>
      <c r="S305" s="2475"/>
      <c r="T305" s="2475"/>
      <c r="U305" s="2475"/>
      <c r="V305" s="2475"/>
      <c r="W305" s="2475"/>
      <c r="X305" s="2475"/>
      <c r="Y305" s="2475"/>
      <c r="Z305" s="2475"/>
      <c r="AA305" s="2475"/>
      <c r="AB305" s="2475"/>
      <c r="AC305" s="2475"/>
      <c r="AD305" s="2476"/>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2496"/>
      <c r="G306" s="2497"/>
      <c r="H306" s="2497"/>
      <c r="I306" s="2497"/>
      <c r="J306" s="2497"/>
      <c r="K306" s="2497"/>
      <c r="L306" s="2497"/>
      <c r="M306" s="2497"/>
      <c r="N306" s="2497"/>
      <c r="O306" s="2497"/>
      <c r="P306" s="2497"/>
      <c r="Q306" s="2497"/>
      <c r="R306" s="2497"/>
      <c r="S306" s="2497"/>
      <c r="T306" s="2497"/>
      <c r="U306" s="2497"/>
      <c r="V306" s="2497"/>
      <c r="W306" s="2497"/>
      <c r="X306" s="2497"/>
      <c r="Y306" s="2497"/>
      <c r="Z306" s="2497"/>
      <c r="AA306" s="2497"/>
      <c r="AB306" s="2497"/>
      <c r="AC306" s="2497"/>
      <c r="AD306" s="2498"/>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t="13" hidden="1">
      <c r="A310" s="1574" t="s">
        <v>2297</v>
      </c>
      <c r="B310" s="1574"/>
      <c r="C310" s="2372" t="s">
        <v>798</v>
      </c>
      <c r="D310" s="2372"/>
      <c r="E310" s="395"/>
      <c r="F310" s="482" t="s">
        <v>2298</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388" t="s">
        <v>2295</v>
      </c>
      <c r="AH310" s="399"/>
      <c r="AI310" s="399"/>
      <c r="AJ310" s="398"/>
      <c r="AK310" s="398"/>
      <c r="AL310" s="398"/>
      <c r="AM310" s="398"/>
      <c r="AN310" s="44"/>
      <c r="AO310" s="11"/>
    </row>
    <row r="311" spans="1:44" ht="13" hidden="1">
      <c r="A311" s="1144"/>
      <c r="B311" s="1144"/>
      <c r="C311" s="1219"/>
      <c r="D311" s="1219"/>
      <c r="E311" s="395"/>
      <c r="F311" s="2350" t="s">
        <v>2299</v>
      </c>
      <c r="G311" s="2351"/>
      <c r="H311" s="2351"/>
      <c r="I311" s="2351"/>
      <c r="J311" s="2351"/>
      <c r="K311" s="2351"/>
      <c r="L311" s="2351"/>
      <c r="M311" s="2351"/>
      <c r="N311" s="2351"/>
      <c r="O311" s="2351"/>
      <c r="P311" s="2351"/>
      <c r="Q311" s="2351"/>
      <c r="R311" s="2351"/>
      <c r="S311" s="2351"/>
      <c r="T311" s="2351"/>
      <c r="U311" s="2351"/>
      <c r="V311" s="2351"/>
      <c r="W311" s="2351"/>
      <c r="X311" s="2351"/>
      <c r="Y311" s="2351"/>
      <c r="Z311" s="2351"/>
      <c r="AA311" s="2351"/>
      <c r="AB311" s="2351"/>
      <c r="AC311" s="2351"/>
      <c r="AD311" s="2352"/>
      <c r="AE311" s="399"/>
      <c r="AF311" s="399"/>
      <c r="AG311" s="388"/>
      <c r="AH311" s="399"/>
      <c r="AI311" s="399"/>
      <c r="AJ311" s="398"/>
      <c r="AK311" s="398"/>
      <c r="AL311" s="398"/>
      <c r="AM311" s="398"/>
      <c r="AN311" s="44"/>
      <c r="AO311" s="11"/>
      <c r="AP311" s="403" t="s">
        <v>1003</v>
      </c>
    </row>
    <row r="312" spans="1:44" hidden="1">
      <c r="F312" s="2350"/>
      <c r="G312" s="2351"/>
      <c r="H312" s="2351"/>
      <c r="I312" s="2351"/>
      <c r="J312" s="2351"/>
      <c r="K312" s="2351"/>
      <c r="L312" s="2351"/>
      <c r="M312" s="2351"/>
      <c r="N312" s="2351"/>
      <c r="O312" s="2351"/>
      <c r="P312" s="2351"/>
      <c r="Q312" s="2351"/>
      <c r="R312" s="2351"/>
      <c r="S312" s="2351"/>
      <c r="T312" s="2351"/>
      <c r="U312" s="2351"/>
      <c r="V312" s="2351"/>
      <c r="W312" s="2351"/>
      <c r="X312" s="2351"/>
      <c r="Y312" s="2351"/>
      <c r="Z312" s="2351"/>
      <c r="AA312" s="2351"/>
      <c r="AB312" s="2351"/>
      <c r="AC312" s="2351"/>
      <c r="AD312" s="2352"/>
      <c r="AE312" s="399"/>
      <c r="AF312" s="399"/>
      <c r="AH312" s="399"/>
      <c r="AI312" s="399"/>
      <c r="AJ312" s="398"/>
      <c r="AK312" s="398"/>
      <c r="AL312" s="398"/>
      <c r="AM312" s="398"/>
      <c r="AN312" s="44"/>
      <c r="AO312" s="11"/>
      <c r="AP312" s="403" t="s">
        <v>2300</v>
      </c>
    </row>
    <row r="313" spans="1:44" ht="13" hidden="1">
      <c r="A313" s="398"/>
      <c r="B313" s="399"/>
      <c r="C313" s="1219"/>
      <c r="D313" s="1219"/>
      <c r="E313" s="395"/>
      <c r="F313" s="489" t="s">
        <v>2301</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9"/>
      <c r="AE313" s="399"/>
      <c r="AF313" s="399"/>
      <c r="AG313" s="388"/>
      <c r="AH313" s="399"/>
      <c r="AI313" s="399"/>
      <c r="AJ313" s="398"/>
      <c r="AK313" s="398"/>
      <c r="AL313" s="398"/>
      <c r="AM313" s="398"/>
      <c r="AN313" s="44"/>
      <c r="AO313" s="11"/>
      <c r="AP313" s="403" t="s">
        <v>2302</v>
      </c>
    </row>
    <row r="314" spans="1:44" ht="13" hidden="1">
      <c r="A314" s="398"/>
      <c r="B314" s="399"/>
      <c r="C314" s="1219"/>
      <c r="D314" s="1219"/>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9"/>
      <c r="AE314" s="399"/>
      <c r="AF314" s="399"/>
      <c r="AG314" s="388"/>
      <c r="AH314" s="399"/>
      <c r="AI314" s="399"/>
      <c r="AJ314" s="398"/>
      <c r="AK314" s="398"/>
      <c r="AL314" s="398"/>
      <c r="AM314" s="398"/>
      <c r="AN314" s="44"/>
      <c r="AO314" s="11"/>
      <c r="AP314" s="403" t="s">
        <v>2303</v>
      </c>
    </row>
    <row r="315" spans="1:44" ht="12.75" hidden="1" customHeight="1">
      <c r="A315" s="398"/>
      <c r="B315" s="399"/>
      <c r="C315" s="1219"/>
      <c r="D315" s="1219"/>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388"/>
      <c r="AH315" s="399"/>
      <c r="AI315" s="399"/>
      <c r="AJ315" s="398"/>
      <c r="AK315" s="398"/>
      <c r="AL315" s="398"/>
      <c r="AM315" s="398"/>
      <c r="AN315" s="44"/>
      <c r="AO315" s="11"/>
      <c r="AP315" s="23"/>
    </row>
    <row r="316" spans="1:44" ht="12.75" hidden="1" customHeight="1">
      <c r="A316" s="398"/>
      <c r="B316" s="399"/>
      <c r="C316" s="1219"/>
      <c r="D316" s="1219"/>
      <c r="E316" s="395"/>
      <c r="F316" s="2477" t="s">
        <v>1003</v>
      </c>
      <c r="G316" s="2478"/>
      <c r="H316" s="2478"/>
      <c r="I316" s="2478"/>
      <c r="J316" s="2478"/>
      <c r="K316" s="2478"/>
      <c r="L316" s="2478"/>
      <c r="M316" s="2478"/>
      <c r="N316" s="2478"/>
      <c r="O316" s="2478"/>
      <c r="P316" s="2478"/>
      <c r="Q316" s="2478"/>
      <c r="R316" s="2478"/>
      <c r="S316" s="2478"/>
      <c r="T316" s="2478"/>
      <c r="U316" s="2478"/>
      <c r="V316" s="2478"/>
      <c r="W316" s="2478"/>
      <c r="X316" s="2478"/>
      <c r="Y316" s="2478"/>
      <c r="Z316" s="2478"/>
      <c r="AA316" s="2478"/>
      <c r="AB316" s="2478"/>
      <c r="AC316" s="2478"/>
      <c r="AD316" s="2479"/>
      <c r="AE316" s="481"/>
      <c r="AF316" s="481"/>
      <c r="AG316" s="481"/>
      <c r="AH316" s="481"/>
      <c r="AI316" s="481"/>
      <c r="AJ316" s="481"/>
      <c r="AK316" s="481"/>
      <c r="AL316" s="398"/>
      <c r="AM316" s="398"/>
      <c r="AN316" s="44"/>
      <c r="AO316" s="11"/>
      <c r="AP316" s="23"/>
    </row>
    <row r="317" spans="1:44" ht="13" hidden="1">
      <c r="A317" s="398"/>
      <c r="B317" s="399"/>
      <c r="C317" s="1219"/>
      <c r="D317" s="1219"/>
      <c r="E317" s="395"/>
      <c r="F317" s="2477"/>
      <c r="G317" s="2478"/>
      <c r="H317" s="2478"/>
      <c r="I317" s="2478"/>
      <c r="J317" s="2478"/>
      <c r="K317" s="2478"/>
      <c r="L317" s="2478"/>
      <c r="M317" s="2478"/>
      <c r="N317" s="2478"/>
      <c r="O317" s="2478"/>
      <c r="P317" s="2478"/>
      <c r="Q317" s="2478"/>
      <c r="R317" s="2478"/>
      <c r="S317" s="2478"/>
      <c r="T317" s="2478"/>
      <c r="U317" s="2478"/>
      <c r="V317" s="2478"/>
      <c r="W317" s="2478"/>
      <c r="X317" s="2478"/>
      <c r="Y317" s="2478"/>
      <c r="Z317" s="2478"/>
      <c r="AA317" s="2478"/>
      <c r="AB317" s="2478"/>
      <c r="AC317" s="2478"/>
      <c r="AD317" s="2479"/>
      <c r="AE317" s="399"/>
      <c r="AF317" s="399"/>
      <c r="AG317" s="388"/>
      <c r="AH317" s="399"/>
      <c r="AI317" s="399"/>
      <c r="AJ317" s="398"/>
      <c r="AK317" s="398"/>
      <c r="AL317" s="398"/>
      <c r="AM317" s="398"/>
      <c r="AN317" s="44"/>
      <c r="AO317" s="11"/>
      <c r="AP317" s="23"/>
    </row>
    <row r="318" spans="1:44" ht="13" hidden="1">
      <c r="A318" s="398"/>
      <c r="B318" s="399"/>
      <c r="C318" s="1219"/>
      <c r="D318" s="1219"/>
      <c r="E318" s="395"/>
      <c r="F318" s="2477"/>
      <c r="G318" s="2478"/>
      <c r="H318" s="2478"/>
      <c r="I318" s="2478"/>
      <c r="J318" s="2478"/>
      <c r="K318" s="2478"/>
      <c r="L318" s="2478"/>
      <c r="M318" s="2478"/>
      <c r="N318" s="2478"/>
      <c r="O318" s="2478"/>
      <c r="P318" s="2478"/>
      <c r="Q318" s="2478"/>
      <c r="R318" s="2478"/>
      <c r="S318" s="2478"/>
      <c r="T318" s="2478"/>
      <c r="U318" s="2478"/>
      <c r="V318" s="2478"/>
      <c r="W318" s="2478"/>
      <c r="X318" s="2478"/>
      <c r="Y318" s="2478"/>
      <c r="Z318" s="2478"/>
      <c r="AA318" s="2478"/>
      <c r="AB318" s="2478"/>
      <c r="AC318" s="2478"/>
      <c r="AD318" s="2479"/>
      <c r="AE318" s="399"/>
      <c r="AF318" s="399"/>
      <c r="AG318" s="388"/>
      <c r="AH318" s="399"/>
      <c r="AI318" s="399"/>
      <c r="AJ318" s="398"/>
      <c r="AK318" s="398"/>
      <c r="AL318" s="398"/>
      <c r="AM318" s="398"/>
      <c r="AN318" s="44"/>
      <c r="AO318" s="11"/>
      <c r="AP318" s="23"/>
    </row>
    <row r="319" spans="1:44" ht="13" hidden="1">
      <c r="A319" s="398"/>
      <c r="B319" s="399"/>
      <c r="C319" s="1219"/>
      <c r="D319" s="1219"/>
      <c r="E319" s="395"/>
      <c r="F319" s="2477"/>
      <c r="G319" s="2478"/>
      <c r="H319" s="2478"/>
      <c r="I319" s="2478"/>
      <c r="J319" s="2478"/>
      <c r="K319" s="2478"/>
      <c r="L319" s="2478"/>
      <c r="M319" s="2478"/>
      <c r="N319" s="2478"/>
      <c r="O319" s="2478"/>
      <c r="P319" s="2478"/>
      <c r="Q319" s="2478"/>
      <c r="R319" s="2478"/>
      <c r="S319" s="2478"/>
      <c r="T319" s="2478"/>
      <c r="U319" s="2478"/>
      <c r="V319" s="2478"/>
      <c r="W319" s="2478"/>
      <c r="X319" s="2478"/>
      <c r="Y319" s="2478"/>
      <c r="Z319" s="2478"/>
      <c r="AA319" s="2478"/>
      <c r="AB319" s="2478"/>
      <c r="AC319" s="2478"/>
      <c r="AD319" s="2479"/>
      <c r="AE319" s="399"/>
      <c r="AF319" s="399"/>
      <c r="AG319" s="388"/>
      <c r="AH319" s="399"/>
      <c r="AI319" s="399"/>
      <c r="AJ319" s="398"/>
      <c r="AK319" s="398"/>
      <c r="AL319" s="398"/>
      <c r="AM319" s="398"/>
      <c r="AN319" s="44"/>
      <c r="AO319" s="11"/>
      <c r="AP319" s="23"/>
    </row>
    <row r="320" spans="1:44" ht="13" hidden="1">
      <c r="A320" s="398"/>
      <c r="B320" s="399"/>
      <c r="C320" s="1219"/>
      <c r="D320" s="1219"/>
      <c r="E320" s="395"/>
      <c r="F320" s="2480"/>
      <c r="G320" s="2481"/>
      <c r="H320" s="2481"/>
      <c r="I320" s="2481"/>
      <c r="J320" s="2481"/>
      <c r="K320" s="2481"/>
      <c r="L320" s="2481"/>
      <c r="M320" s="2481"/>
      <c r="N320" s="2481"/>
      <c r="O320" s="2481"/>
      <c r="P320" s="2481"/>
      <c r="Q320" s="2481"/>
      <c r="R320" s="2481"/>
      <c r="S320" s="2481"/>
      <c r="T320" s="2481"/>
      <c r="U320" s="2481"/>
      <c r="V320" s="2481"/>
      <c r="W320" s="2481"/>
      <c r="X320" s="2481"/>
      <c r="Y320" s="2481"/>
      <c r="Z320" s="2481"/>
      <c r="AA320" s="2481"/>
      <c r="AB320" s="2481"/>
      <c r="AC320" s="2481"/>
      <c r="AD320" s="2482"/>
      <c r="AE320" s="399"/>
      <c r="AF320" s="399"/>
      <c r="AG320" s="388"/>
      <c r="AH320" s="399"/>
      <c r="AI320" s="399"/>
      <c r="AJ320" s="398"/>
      <c r="AK320" s="398"/>
      <c r="AL320" s="398"/>
      <c r="AM320" s="398"/>
      <c r="AN320" s="44"/>
      <c r="AO320" s="11"/>
      <c r="AP320" s="23"/>
    </row>
    <row r="321" spans="1:42" ht="13" hidden="1">
      <c r="A321" s="398"/>
      <c r="B321" s="399"/>
      <c r="C321" s="1219"/>
      <c r="D321" s="1219"/>
      <c r="E321" s="395"/>
      <c r="F321" s="776"/>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388"/>
      <c r="AH321" s="399"/>
      <c r="AI321" s="399"/>
      <c r="AJ321" s="398"/>
      <c r="AK321" s="398"/>
      <c r="AL321" s="398"/>
      <c r="AM321" s="398"/>
      <c r="AN321" s="44"/>
      <c r="AO321" s="11"/>
      <c r="AP321" s="23"/>
    </row>
    <row r="322" spans="1:42" ht="13" hidden="1">
      <c r="A322" s="398"/>
      <c r="B322" s="399"/>
      <c r="C322" s="1219"/>
      <c r="D322" s="1219"/>
      <c r="E322" s="395"/>
      <c r="F322" s="491" t="s">
        <v>2304</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388"/>
      <c r="AH322" s="399"/>
      <c r="AI322" s="399"/>
      <c r="AJ322" s="398"/>
      <c r="AK322" s="398"/>
      <c r="AL322" s="398"/>
      <c r="AM322" s="398"/>
      <c r="AN322" s="44"/>
      <c r="AO322" s="11"/>
      <c r="AP322" s="23"/>
    </row>
    <row r="323" spans="1:42" ht="13" hidden="1">
      <c r="A323" s="398"/>
      <c r="B323" s="399"/>
      <c r="C323" s="1219"/>
      <c r="D323" s="1219"/>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388"/>
      <c r="AH323" s="399"/>
      <c r="AI323" s="399"/>
      <c r="AJ323" s="398"/>
      <c r="AK323" s="398"/>
      <c r="AL323" s="398"/>
      <c r="AM323" s="398"/>
      <c r="AN323" s="44"/>
      <c r="AO323" s="11"/>
      <c r="AP323" s="403" t="s">
        <v>1003</v>
      </c>
    </row>
    <row r="324" spans="1:42" ht="12.75" hidden="1" customHeight="1">
      <c r="A324" s="398"/>
      <c r="B324" s="399"/>
      <c r="C324" s="1219"/>
      <c r="D324" s="1219"/>
      <c r="E324" s="395"/>
      <c r="F324" s="493"/>
      <c r="G324" s="420" t="s">
        <v>22</v>
      </c>
      <c r="H324" s="420"/>
      <c r="I324" s="2483" t="s">
        <v>1003</v>
      </c>
      <c r="J324" s="2483"/>
      <c r="K324" s="2483"/>
      <c r="L324" s="2483"/>
      <c r="M324" s="2483"/>
      <c r="N324" s="2483"/>
      <c r="O324" s="2483"/>
      <c r="P324" s="2483"/>
      <c r="Q324" s="2483"/>
      <c r="R324" s="2483"/>
      <c r="S324" s="2483"/>
      <c r="T324" s="2483"/>
      <c r="U324" s="2483"/>
      <c r="V324" s="2483"/>
      <c r="W324" s="2483"/>
      <c r="X324" s="2483"/>
      <c r="Y324" s="2483"/>
      <c r="Z324" s="2483"/>
      <c r="AA324" s="2483"/>
      <c r="AB324" s="2483"/>
      <c r="AC324" s="2483"/>
      <c r="AD324" s="2484"/>
      <c r="AE324" s="399"/>
      <c r="AF324" s="399"/>
      <c r="AG324" s="388"/>
      <c r="AH324" s="399"/>
      <c r="AI324" s="399"/>
      <c r="AJ324" s="398"/>
      <c r="AK324" s="398"/>
      <c r="AL324" s="398"/>
      <c r="AM324" s="398"/>
      <c r="AN324" s="44"/>
      <c r="AO324" s="11"/>
      <c r="AP324" s="403" t="s">
        <v>2305</v>
      </c>
    </row>
    <row r="325" spans="1:42" ht="13" hidden="1">
      <c r="A325" s="398"/>
      <c r="B325" s="399"/>
      <c r="C325" s="1219"/>
      <c r="D325" s="1219"/>
      <c r="E325" s="395"/>
      <c r="F325" s="493"/>
      <c r="G325" s="420"/>
      <c r="H325" s="420"/>
      <c r="I325" s="2483"/>
      <c r="J325" s="2483"/>
      <c r="K325" s="2483"/>
      <c r="L325" s="2483"/>
      <c r="M325" s="2483"/>
      <c r="N325" s="2483"/>
      <c r="O325" s="2483"/>
      <c r="P325" s="2483"/>
      <c r="Q325" s="2483"/>
      <c r="R325" s="2483"/>
      <c r="S325" s="2483"/>
      <c r="T325" s="2483"/>
      <c r="U325" s="2483"/>
      <c r="V325" s="2483"/>
      <c r="W325" s="2483"/>
      <c r="X325" s="2483"/>
      <c r="Y325" s="2483"/>
      <c r="Z325" s="2483"/>
      <c r="AA325" s="2483"/>
      <c r="AB325" s="2483"/>
      <c r="AC325" s="2483"/>
      <c r="AD325" s="2484"/>
      <c r="AE325" s="399"/>
      <c r="AF325" s="399"/>
      <c r="AG325" s="388"/>
      <c r="AH325" s="399"/>
      <c r="AI325" s="399"/>
      <c r="AJ325" s="398"/>
      <c r="AK325" s="398"/>
      <c r="AL325" s="398"/>
      <c r="AM325" s="398"/>
      <c r="AN325" s="44"/>
      <c r="AO325" s="11"/>
      <c r="AP325" s="403" t="s">
        <v>2306</v>
      </c>
    </row>
    <row r="326" spans="1:42" ht="13" hidden="1">
      <c r="A326" s="398"/>
      <c r="B326" s="399"/>
      <c r="C326" s="1198"/>
      <c r="D326" s="1198"/>
      <c r="E326" s="395"/>
      <c r="F326" s="493"/>
      <c r="G326" s="420"/>
      <c r="H326" s="420"/>
      <c r="I326" s="2483"/>
      <c r="J326" s="2483"/>
      <c r="K326" s="2483"/>
      <c r="L326" s="2483"/>
      <c r="M326" s="2483"/>
      <c r="N326" s="2483"/>
      <c r="O326" s="2483"/>
      <c r="P326" s="2483"/>
      <c r="Q326" s="2483"/>
      <c r="R326" s="2483"/>
      <c r="S326" s="2483"/>
      <c r="T326" s="2483"/>
      <c r="U326" s="2483"/>
      <c r="V326" s="2483"/>
      <c r="W326" s="2483"/>
      <c r="X326" s="2483"/>
      <c r="Y326" s="2483"/>
      <c r="Z326" s="2483"/>
      <c r="AA326" s="2483"/>
      <c r="AB326" s="2483"/>
      <c r="AC326" s="2483"/>
      <c r="AD326" s="2484"/>
      <c r="AE326" s="399"/>
      <c r="AF326" s="399"/>
      <c r="AG326" s="388"/>
      <c r="AH326" s="399"/>
      <c r="AI326" s="399"/>
      <c r="AJ326" s="398"/>
      <c r="AK326" s="398"/>
      <c r="AL326" s="398"/>
      <c r="AM326" s="398"/>
      <c r="AN326" s="44"/>
      <c r="AO326" s="11"/>
      <c r="AP326" s="403" t="s">
        <v>2307</v>
      </c>
    </row>
    <row r="327" spans="1:42" ht="13" hidden="1">
      <c r="A327" s="398"/>
      <c r="B327" s="399"/>
      <c r="C327" s="1198"/>
      <c r="D327" s="1198"/>
      <c r="E327" s="395"/>
      <c r="F327" s="491"/>
      <c r="G327" s="399"/>
      <c r="H327" s="399"/>
      <c r="I327" s="2485"/>
      <c r="J327" s="2485"/>
      <c r="K327" s="2485"/>
      <c r="L327" s="2485"/>
      <c r="M327" s="2485"/>
      <c r="N327" s="2485"/>
      <c r="O327" s="2485"/>
      <c r="P327" s="2485"/>
      <c r="Q327" s="2485"/>
      <c r="R327" s="2485"/>
      <c r="S327" s="2485"/>
      <c r="T327" s="2485"/>
      <c r="U327" s="2485"/>
      <c r="V327" s="2485"/>
      <c r="W327" s="2485"/>
      <c r="X327" s="2485"/>
      <c r="Y327" s="2485"/>
      <c r="Z327" s="2485"/>
      <c r="AA327" s="2485"/>
      <c r="AB327" s="2485"/>
      <c r="AC327" s="2485"/>
      <c r="AD327" s="2486"/>
      <c r="AE327" s="399"/>
      <c r="AF327" s="399"/>
      <c r="AG327" s="388"/>
      <c r="AH327" s="399"/>
      <c r="AI327" s="399"/>
      <c r="AJ327" s="398"/>
      <c r="AK327" s="398"/>
      <c r="AL327" s="398"/>
      <c r="AM327" s="398"/>
      <c r="AN327" s="44"/>
      <c r="AO327" s="11"/>
      <c r="AP327" s="403" t="s">
        <v>2308</v>
      </c>
    </row>
    <row r="328" spans="1:42" ht="13" hidden="1">
      <c r="A328" s="398"/>
      <c r="B328" s="399"/>
      <c r="C328" s="1198"/>
      <c r="D328" s="1198"/>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388"/>
      <c r="AH328" s="399"/>
      <c r="AI328" s="399"/>
      <c r="AJ328" s="398"/>
      <c r="AK328" s="398"/>
      <c r="AL328" s="398"/>
      <c r="AM328" s="398"/>
      <c r="AN328" s="44"/>
      <c r="AO328" s="11"/>
      <c r="AP328" s="23"/>
    </row>
    <row r="329" spans="1:42" ht="13" hidden="1">
      <c r="A329" s="398"/>
      <c r="B329" s="399"/>
      <c r="C329" s="1198"/>
      <c r="D329" s="1198"/>
      <c r="E329" s="395"/>
      <c r="F329" s="491"/>
      <c r="G329" s="399" t="s">
        <v>27</v>
      </c>
      <c r="H329" s="399"/>
      <c r="I329" s="2483" t="s">
        <v>1003</v>
      </c>
      <c r="J329" s="2483"/>
      <c r="K329" s="2483"/>
      <c r="L329" s="2483"/>
      <c r="M329" s="2483"/>
      <c r="N329" s="2483"/>
      <c r="O329" s="2483"/>
      <c r="P329" s="2483"/>
      <c r="Q329" s="2483"/>
      <c r="R329" s="2483"/>
      <c r="S329" s="2483"/>
      <c r="T329" s="2483"/>
      <c r="U329" s="2483"/>
      <c r="V329" s="2483"/>
      <c r="W329" s="2483"/>
      <c r="X329" s="2483"/>
      <c r="Y329" s="2483"/>
      <c r="Z329" s="2483"/>
      <c r="AA329" s="2483"/>
      <c r="AB329" s="2483"/>
      <c r="AC329" s="2483"/>
      <c r="AD329" s="2484"/>
      <c r="AE329" s="399"/>
      <c r="AF329" s="399"/>
      <c r="AG329" s="388"/>
      <c r="AH329" s="399"/>
      <c r="AI329" s="399"/>
      <c r="AJ329" s="398"/>
      <c r="AK329" s="398"/>
      <c r="AL329" s="398"/>
      <c r="AM329" s="398"/>
      <c r="AN329" s="44"/>
      <c r="AO329" s="11"/>
    </row>
    <row r="330" spans="1:42" ht="13" hidden="1">
      <c r="A330" s="398"/>
      <c r="B330" s="399"/>
      <c r="C330" s="1198"/>
      <c r="D330" s="1198"/>
      <c r="E330" s="395"/>
      <c r="F330" s="491"/>
      <c r="G330" s="399"/>
      <c r="H330" s="399"/>
      <c r="I330" s="2483"/>
      <c r="J330" s="2483"/>
      <c r="K330" s="2483"/>
      <c r="L330" s="2483"/>
      <c r="M330" s="2483"/>
      <c r="N330" s="2483"/>
      <c r="O330" s="2483"/>
      <c r="P330" s="2483"/>
      <c r="Q330" s="2483"/>
      <c r="R330" s="2483"/>
      <c r="S330" s="2483"/>
      <c r="T330" s="2483"/>
      <c r="U330" s="2483"/>
      <c r="V330" s="2483"/>
      <c r="W330" s="2483"/>
      <c r="X330" s="2483"/>
      <c r="Y330" s="2483"/>
      <c r="Z330" s="2483"/>
      <c r="AA330" s="2483"/>
      <c r="AB330" s="2483"/>
      <c r="AC330" s="2483"/>
      <c r="AD330" s="2484"/>
      <c r="AE330" s="399"/>
      <c r="AF330" s="399"/>
      <c r="AG330" s="388"/>
      <c r="AH330" s="399"/>
      <c r="AI330" s="399"/>
      <c r="AJ330" s="398"/>
      <c r="AK330" s="398"/>
      <c r="AL330" s="398"/>
      <c r="AM330" s="398"/>
      <c r="AN330" s="44"/>
      <c r="AO330" s="11"/>
      <c r="AP330" s="403" t="s">
        <v>1003</v>
      </c>
    </row>
    <row r="331" spans="1:42" ht="13" hidden="1">
      <c r="A331" s="398"/>
      <c r="B331" s="399"/>
      <c r="C331" s="1198"/>
      <c r="D331" s="1198"/>
      <c r="E331" s="395"/>
      <c r="F331" s="494"/>
      <c r="G331" s="495"/>
      <c r="H331" s="495"/>
      <c r="I331" s="2485"/>
      <c r="J331" s="2485"/>
      <c r="K331" s="2485"/>
      <c r="L331" s="2485"/>
      <c r="M331" s="2485"/>
      <c r="N331" s="2485"/>
      <c r="O331" s="2485"/>
      <c r="P331" s="2485"/>
      <c r="Q331" s="2485"/>
      <c r="R331" s="2485"/>
      <c r="S331" s="2485"/>
      <c r="T331" s="2485"/>
      <c r="U331" s="2485"/>
      <c r="V331" s="2485"/>
      <c r="W331" s="2485"/>
      <c r="X331" s="2485"/>
      <c r="Y331" s="2485"/>
      <c r="Z331" s="2485"/>
      <c r="AA331" s="2485"/>
      <c r="AB331" s="2485"/>
      <c r="AC331" s="2485"/>
      <c r="AD331" s="2486"/>
      <c r="AE331" s="399"/>
      <c r="AF331" s="399"/>
      <c r="AG331" s="388"/>
      <c r="AH331" s="399"/>
      <c r="AI331" s="399"/>
      <c r="AJ331" s="398"/>
      <c r="AK331" s="398"/>
      <c r="AL331" s="398"/>
      <c r="AM331" s="398"/>
      <c r="AN331" s="44"/>
      <c r="AO331" s="11"/>
      <c r="AP331" s="403" t="s">
        <v>2309</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2310</v>
      </c>
    </row>
    <row r="333" spans="1:42" ht="12.75" hidden="1" customHeight="1">
      <c r="A333" s="1574" t="s">
        <v>2311</v>
      </c>
      <c r="B333" s="1574"/>
      <c r="C333" s="2372" t="s">
        <v>798</v>
      </c>
      <c r="D333" s="2372"/>
      <c r="E333" s="395"/>
      <c r="F333" s="2471" t="s">
        <v>2312</v>
      </c>
      <c r="G333" s="2472"/>
      <c r="H333" s="2472"/>
      <c r="I333" s="2472"/>
      <c r="J333" s="2472"/>
      <c r="K333" s="2472"/>
      <c r="L333" s="2472"/>
      <c r="M333" s="2472"/>
      <c r="N333" s="2472"/>
      <c r="O333" s="2472"/>
      <c r="P333" s="2472"/>
      <c r="Q333" s="2472"/>
      <c r="R333" s="2472"/>
      <c r="S333" s="2472"/>
      <c r="T333" s="2472"/>
      <c r="U333" s="2472"/>
      <c r="V333" s="2472"/>
      <c r="W333" s="2472"/>
      <c r="X333" s="2472"/>
      <c r="Y333" s="2472"/>
      <c r="Z333" s="2472"/>
      <c r="AA333" s="2472"/>
      <c r="AB333" s="2472"/>
      <c r="AC333" s="2472"/>
      <c r="AD333" s="2473"/>
      <c r="AE333" s="399"/>
      <c r="AF333" s="399"/>
      <c r="AG333" s="388" t="s">
        <v>2295</v>
      </c>
      <c r="AH333" s="399"/>
      <c r="AI333" s="399"/>
      <c r="AJ333" s="398"/>
      <c r="AK333" s="398"/>
      <c r="AL333" s="398"/>
      <c r="AM333" s="398"/>
      <c r="AN333" s="44"/>
      <c r="AO333" s="11"/>
    </row>
    <row r="334" spans="1:42" ht="15" hidden="1" customHeight="1">
      <c r="A334" s="398"/>
      <c r="B334" s="399"/>
      <c r="C334" s="399"/>
      <c r="D334" s="399"/>
      <c r="E334" s="399"/>
      <c r="F334" s="2474"/>
      <c r="G334" s="2475"/>
      <c r="H334" s="2475"/>
      <c r="I334" s="2475"/>
      <c r="J334" s="2475"/>
      <c r="K334" s="2475"/>
      <c r="L334" s="2475"/>
      <c r="M334" s="2475"/>
      <c r="N334" s="2475"/>
      <c r="O334" s="2475"/>
      <c r="P334" s="2475"/>
      <c r="Q334" s="2475"/>
      <c r="R334" s="2475"/>
      <c r="S334" s="2475"/>
      <c r="T334" s="2475"/>
      <c r="U334" s="2475"/>
      <c r="V334" s="2475"/>
      <c r="W334" s="2475"/>
      <c r="X334" s="2475"/>
      <c r="Y334" s="2475"/>
      <c r="Z334" s="2475"/>
      <c r="AA334" s="2475"/>
      <c r="AB334" s="2475"/>
      <c r="AC334" s="2475"/>
      <c r="AD334" s="2476"/>
      <c r="AE334" s="399"/>
      <c r="AF334" s="399"/>
      <c r="AG334" s="399"/>
      <c r="AH334" s="399"/>
      <c r="AI334" s="399"/>
      <c r="AJ334" s="398"/>
      <c r="AK334" s="398"/>
      <c r="AL334" s="398"/>
      <c r="AM334" s="398"/>
      <c r="AN334" s="44"/>
      <c r="AO334" s="11"/>
    </row>
    <row r="335" spans="1:42" ht="15" hidden="1" customHeight="1">
      <c r="A335" s="398"/>
      <c r="B335" s="399"/>
      <c r="C335" s="399"/>
      <c r="D335" s="399"/>
      <c r="E335" s="399"/>
      <c r="F335" s="2474"/>
      <c r="G335" s="2475"/>
      <c r="H335" s="2475"/>
      <c r="I335" s="2475"/>
      <c r="J335" s="2475"/>
      <c r="K335" s="2475"/>
      <c r="L335" s="2475"/>
      <c r="M335" s="2475"/>
      <c r="N335" s="2475"/>
      <c r="O335" s="2475"/>
      <c r="P335" s="2475"/>
      <c r="Q335" s="2475"/>
      <c r="R335" s="2475"/>
      <c r="S335" s="2475"/>
      <c r="T335" s="2475"/>
      <c r="U335" s="2475"/>
      <c r="V335" s="2475"/>
      <c r="W335" s="2475"/>
      <c r="X335" s="2475"/>
      <c r="Y335" s="2475"/>
      <c r="Z335" s="2475"/>
      <c r="AA335" s="2475"/>
      <c r="AB335" s="2475"/>
      <c r="AC335" s="2475"/>
      <c r="AD335" s="2476"/>
      <c r="AE335" s="399"/>
      <c r="AF335" s="399"/>
      <c r="AG335" s="399"/>
      <c r="AH335" s="399"/>
      <c r="AI335" s="399"/>
      <c r="AJ335" s="398"/>
      <c r="AK335" s="398"/>
      <c r="AL335" s="398"/>
      <c r="AM335" s="496"/>
      <c r="AN335" s="11"/>
      <c r="AO335" s="11"/>
    </row>
    <row r="336" spans="1:42" hidden="1">
      <c r="A336" s="398"/>
      <c r="B336" s="399"/>
      <c r="C336" s="398"/>
      <c r="D336" s="399"/>
      <c r="E336" s="398"/>
      <c r="F336" s="497" t="s">
        <v>2313</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ht="13">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2314</v>
      </c>
      <c r="AK338" s="2358">
        <f>IF(NOT(OR(Application!M355="Yes",Application!M356="Yes")),0,AP295)</f>
        <v>9</v>
      </c>
      <c r="AL338" s="2359"/>
      <c r="AM338" s="2360"/>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388" t="s">
        <v>2315</v>
      </c>
      <c r="B341" s="388" t="s">
        <v>2316</v>
      </c>
      <c r="C341" s="385"/>
      <c r="AC341" s="388"/>
      <c r="AE341" s="2391" t="s">
        <v>2145</v>
      </c>
      <c r="AF341" s="2391"/>
      <c r="AG341" s="2391"/>
      <c r="AH341" s="2391"/>
      <c r="AI341" s="2391"/>
      <c r="AJ341" s="2391"/>
      <c r="AK341" s="2391"/>
      <c r="AL341" s="388"/>
      <c r="AM341" s="388"/>
      <c r="AN341" s="435"/>
    </row>
    <row r="342" spans="1:44" s="398" customFormat="1" ht="12.75" customHeight="1">
      <c r="A342" s="388"/>
      <c r="B342" s="388"/>
      <c r="C342" s="385"/>
      <c r="AC342" s="388"/>
      <c r="AE342" s="1187"/>
      <c r="AF342" s="1187"/>
      <c r="AG342" s="1187"/>
      <c r="AH342" s="1187"/>
      <c r="AI342" s="1187"/>
      <c r="AJ342" s="1187"/>
      <c r="AK342" s="1187"/>
      <c r="AL342" s="388"/>
      <c r="AM342" s="388"/>
      <c r="AN342" s="435"/>
    </row>
    <row r="343" spans="1:44" s="398" customFormat="1" ht="12.75" customHeight="1">
      <c r="A343" s="445"/>
      <c r="B343" s="452"/>
      <c r="C343" s="2367" t="s">
        <v>2317</v>
      </c>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445"/>
      <c r="AL343" s="445"/>
      <c r="AM343" s="445"/>
      <c r="AN343" s="439"/>
    </row>
    <row r="344" spans="1:44" s="398" customFormat="1" ht="12.75" customHeight="1">
      <c r="A344" s="445"/>
      <c r="B344" s="452"/>
      <c r="C344" s="2367"/>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445"/>
      <c r="AL344" s="445"/>
      <c r="AM344" s="445"/>
      <c r="AN344" s="439"/>
    </row>
    <row r="345" spans="1:44" s="398" customFormat="1" ht="12.75" customHeight="1">
      <c r="A345" s="445"/>
      <c r="B345" s="452"/>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445"/>
      <c r="AL345" s="445"/>
      <c r="AM345" s="445"/>
      <c r="AN345" s="439"/>
      <c r="AQ345" s="416"/>
    </row>
    <row r="346" spans="1:44" s="398" customFormat="1" ht="12.75" customHeight="1">
      <c r="A346" s="445"/>
      <c r="B346" s="452"/>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445"/>
      <c r="AL346" s="445"/>
      <c r="AM346" s="445"/>
      <c r="AN346" s="439"/>
      <c r="AQ346" s="416"/>
    </row>
    <row r="347" spans="1:44" s="398" customFormat="1" ht="12.65" customHeight="1">
      <c r="A347" s="445"/>
      <c r="B347" s="452"/>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445"/>
      <c r="AL347" s="445"/>
      <c r="AM347" s="445"/>
      <c r="AN347" s="439"/>
      <c r="AQ347" s="416"/>
      <c r="AR347" s="416"/>
    </row>
    <row r="348" spans="1:44" s="398" customFormat="1" ht="45.75" customHeight="1">
      <c r="A348" s="445"/>
      <c r="B348" s="452"/>
      <c r="C348" s="2367" t="s">
        <v>2318</v>
      </c>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445"/>
      <c r="AL348" s="445"/>
      <c r="AM348" s="445"/>
      <c r="AN348" s="439"/>
      <c r="AQ348" s="416"/>
      <c r="AR348" s="416"/>
    </row>
    <row r="349" spans="1:44" s="398" customFormat="1" ht="12.65" customHeight="1">
      <c r="A349" s="445"/>
      <c r="B349" s="452"/>
      <c r="C349" s="1203"/>
      <c r="D349" s="1203"/>
      <c r="E349" s="1203"/>
      <c r="F349" s="1203"/>
      <c r="G349" s="1203"/>
      <c r="H349" s="1203"/>
      <c r="I349" s="1203"/>
      <c r="J349" s="1203"/>
      <c r="K349" s="1203"/>
      <c r="L349" s="1203"/>
      <c r="M349" s="1203"/>
      <c r="N349" s="1203"/>
      <c r="O349" s="1203"/>
      <c r="P349" s="1203"/>
      <c r="Q349" s="1203"/>
      <c r="R349" s="1203"/>
      <c r="S349" s="1203"/>
      <c r="T349" s="1203"/>
      <c r="U349" s="1203"/>
      <c r="V349" s="1203"/>
      <c r="W349" s="1203"/>
      <c r="X349" s="1203"/>
      <c r="Y349" s="1203"/>
      <c r="Z349" s="1203"/>
      <c r="AA349" s="1203"/>
      <c r="AB349" s="1203"/>
      <c r="AC349" s="1203"/>
      <c r="AD349" s="1203"/>
      <c r="AE349" s="1203"/>
      <c r="AF349" s="1203"/>
      <c r="AG349" s="1203"/>
      <c r="AH349" s="1203"/>
      <c r="AI349" s="1203"/>
      <c r="AJ349" s="1203"/>
      <c r="AK349" s="445"/>
      <c r="AL349" s="445"/>
      <c r="AM349" s="445"/>
      <c r="AN349" s="439"/>
      <c r="AQ349" s="416"/>
      <c r="AR349" s="416"/>
    </row>
    <row r="350" spans="1:44" s="398" customFormat="1" ht="12.75" customHeight="1">
      <c r="A350" s="445"/>
      <c r="B350" s="452"/>
      <c r="C350" s="2367" t="s">
        <v>2319</v>
      </c>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445"/>
      <c r="AL350" s="445"/>
      <c r="AM350" s="445"/>
      <c r="AN350" s="439"/>
      <c r="AQ350" s="416"/>
      <c r="AR350" s="416"/>
    </row>
    <row r="351" spans="1:44" s="398" customFormat="1" ht="30" customHeight="1">
      <c r="A351" s="445"/>
      <c r="B351" s="452"/>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445"/>
      <c r="AL351" s="445"/>
      <c r="AM351" s="445"/>
      <c r="AN351" s="439"/>
      <c r="AR351" s="416"/>
    </row>
    <row r="352" spans="1:44" s="398" customFormat="1" ht="12.75" customHeight="1">
      <c r="A352" s="445"/>
      <c r="B352" s="452"/>
      <c r="C352" s="2367"/>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445"/>
      <c r="AL352" s="445"/>
      <c r="AM352" s="445"/>
      <c r="AN352" s="439"/>
      <c r="AR352" s="416"/>
    </row>
    <row r="353" spans="1:46" s="398" customFormat="1" ht="12.75" customHeight="1">
      <c r="A353" s="445"/>
      <c r="B353" s="452"/>
      <c r="C353" s="2367" t="s">
        <v>2320</v>
      </c>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445"/>
      <c r="AL353" s="445"/>
      <c r="AM353" s="445"/>
      <c r="AN353" s="439"/>
      <c r="AQ353" s="416"/>
      <c r="AR353" s="416"/>
    </row>
    <row r="354" spans="1:46" s="398" customFormat="1" ht="12.75" customHeight="1">
      <c r="A354" s="445"/>
      <c r="B354" s="452"/>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445"/>
      <c r="AL354" s="445"/>
      <c r="AM354" s="445"/>
      <c r="AN354" s="439"/>
      <c r="AQ354" s="416"/>
      <c r="AR354" s="416"/>
    </row>
    <row r="355" spans="1:46" s="398" customFormat="1" ht="13.4" customHeight="1">
      <c r="A355" s="445"/>
      <c r="B355" s="452"/>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445"/>
      <c r="AL355" s="445"/>
      <c r="AM355" s="445"/>
      <c r="AN355" s="439"/>
      <c r="AQ355" s="416"/>
      <c r="AR355" s="416"/>
    </row>
    <row r="356" spans="1:46" s="398" customFormat="1" ht="12.75" customHeight="1">
      <c r="A356" s="445"/>
      <c r="B356" s="452"/>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445"/>
      <c r="AL356" s="445"/>
      <c r="AM356" s="445"/>
      <c r="AN356" s="439"/>
      <c r="AO356" s="529"/>
      <c r="AP356" s="529"/>
      <c r="AQ356" s="416"/>
    </row>
    <row r="357" spans="1:46" s="398" customFormat="1" ht="11.9" customHeight="1">
      <c r="A357" s="445"/>
      <c r="B357" s="452"/>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445"/>
      <c r="AL357" s="445"/>
      <c r="AM357" s="445"/>
      <c r="AN357" s="439"/>
      <c r="AO357" s="530" t="s">
        <v>18</v>
      </c>
      <c r="AP357" s="531">
        <f>IF(C381="Yes",5,0)</f>
        <v>0</v>
      </c>
      <c r="AS357" s="388" t="s">
        <v>2321</v>
      </c>
    </row>
    <row r="358" spans="1:46" s="398" customFormat="1" ht="12.75" customHeight="1">
      <c r="A358" s="445"/>
      <c r="B358" s="452"/>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445"/>
      <c r="AL358" s="445"/>
      <c r="AM358" s="445"/>
      <c r="AN358" s="439"/>
      <c r="AO358" s="530" t="s">
        <v>31</v>
      </c>
      <c r="AP358" s="531">
        <f>IF(C389="Yes",5,0)</f>
        <v>0</v>
      </c>
      <c r="AS358" s="2333">
        <f>IF(Application!D211="Non-Targeted",(SUM(AQ366+AQ375)),AS362)</f>
        <v>10</v>
      </c>
      <c r="AT358" s="2333"/>
    </row>
    <row r="359" spans="1:46" s="398" customFormat="1" ht="12.75" customHeight="1">
      <c r="A359" s="445"/>
      <c r="B359" s="452"/>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445"/>
      <c r="AL359" s="445"/>
      <c r="AM359" s="445"/>
      <c r="AN359" s="439"/>
      <c r="AO359" s="530" t="s">
        <v>39</v>
      </c>
      <c r="AP359" s="531">
        <f>IF(C397="Yes",7,0)</f>
        <v>0</v>
      </c>
      <c r="AS359" s="388" t="s">
        <v>2322</v>
      </c>
    </row>
    <row r="360" spans="1:46" s="398" customFormat="1" ht="12.75" customHeight="1">
      <c r="A360" s="445"/>
      <c r="B360" s="452"/>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445"/>
      <c r="AL360" s="445"/>
      <c r="AM360" s="445"/>
      <c r="AN360" s="439"/>
      <c r="AO360" s="439"/>
      <c r="AP360" s="531">
        <f>IF(C399="Yes",5,0)</f>
        <v>5</v>
      </c>
      <c r="AS360" s="2333">
        <f>IF(AND(AQ366&gt;0,AQ375&gt;0),(AQ366+AQ375)/2,0)</f>
        <v>0</v>
      </c>
      <c r="AT360" s="2333"/>
    </row>
    <row r="361" spans="1:46" s="398" customFormat="1" ht="12.75" customHeight="1">
      <c r="A361" s="445"/>
      <c r="B361" s="452"/>
      <c r="C361" s="2367"/>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445"/>
      <c r="AL361" s="445"/>
      <c r="AM361" s="445"/>
      <c r="AN361" s="439"/>
      <c r="AO361" s="530" t="s">
        <v>82</v>
      </c>
      <c r="AP361" s="531">
        <f>IF(C407="Yes",5,0)</f>
        <v>0</v>
      </c>
      <c r="AS361" s="388" t="s">
        <v>2323</v>
      </c>
    </row>
    <row r="362" spans="1:46" s="398" customFormat="1" ht="12.75" customHeight="1">
      <c r="A362" s="445"/>
      <c r="B362" s="452"/>
      <c r="C362" s="2461" t="s">
        <v>2324</v>
      </c>
      <c r="D362" s="2461"/>
      <c r="E362" s="2461"/>
      <c r="F362" s="2461"/>
      <c r="G362" s="2461"/>
      <c r="H362" s="2461"/>
      <c r="I362" s="2461"/>
      <c r="J362" s="2461"/>
      <c r="K362" s="2461"/>
      <c r="L362" s="2461"/>
      <c r="M362" s="2461"/>
      <c r="N362" s="2461"/>
      <c r="O362" s="2461"/>
      <c r="P362" s="2461"/>
      <c r="Q362" s="2461"/>
      <c r="R362" s="2461"/>
      <c r="S362" s="2461"/>
      <c r="T362" s="2461"/>
      <c r="U362" s="2461"/>
      <c r="V362" s="2461"/>
      <c r="W362" s="2461"/>
      <c r="X362" s="2461"/>
      <c r="Y362" s="2461"/>
      <c r="Z362" s="2461"/>
      <c r="AA362" s="2461"/>
      <c r="AB362" s="2461"/>
      <c r="AC362" s="2461"/>
      <c r="AD362" s="2461"/>
      <c r="AE362" s="2461"/>
      <c r="AF362" s="2461"/>
      <c r="AG362" s="2461"/>
      <c r="AH362" s="2461"/>
      <c r="AI362" s="2461"/>
      <c r="AJ362" s="2461"/>
      <c r="AK362" s="445"/>
      <c r="AL362" s="445"/>
      <c r="AM362" s="445"/>
      <c r="AN362" s="439"/>
      <c r="AO362" s="439"/>
      <c r="AP362" s="531">
        <f>IF(C409="Yes",3,0)</f>
        <v>0</v>
      </c>
      <c r="AS362" s="2333">
        <f>IF(AQ366=0,AQ375,AQ366)</f>
        <v>10</v>
      </c>
      <c r="AT362" s="2333"/>
    </row>
    <row r="363" spans="1:46" s="398" customFormat="1" ht="12.75" customHeight="1">
      <c r="A363" s="445"/>
      <c r="B363" s="452"/>
      <c r="C363" s="2461"/>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445"/>
      <c r="AL363" s="445"/>
      <c r="AM363" s="445"/>
      <c r="AN363" s="439"/>
      <c r="AO363" s="530" t="s">
        <v>86</v>
      </c>
      <c r="AP363" s="531">
        <f>IF(C412="Yes",5,0)</f>
        <v>0</v>
      </c>
    </row>
    <row r="364" spans="1:46" s="398" customFormat="1" ht="12.75" customHeight="1">
      <c r="A364" s="445"/>
      <c r="B364" s="452"/>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445"/>
      <c r="AL364" s="445"/>
      <c r="AM364" s="445"/>
      <c r="AN364" s="439"/>
      <c r="AO364" s="530" t="s">
        <v>1404</v>
      </c>
      <c r="AP364" s="531">
        <f>IF(C421="Yes",5,0)</f>
        <v>5</v>
      </c>
    </row>
    <row r="365" spans="1:46" s="398" customFormat="1" ht="11.9" customHeight="1">
      <c r="A365" s="445"/>
      <c r="B365" s="452"/>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445"/>
      <c r="AL365" s="445"/>
      <c r="AM365" s="445"/>
      <c r="AN365" s="439"/>
      <c r="AO365" s="532"/>
      <c r="AP365" s="533">
        <f>IF(C423="Yes",3,0)</f>
        <v>0</v>
      </c>
    </row>
    <row r="366" spans="1:46" s="398" customFormat="1" ht="12.65" customHeight="1">
      <c r="A366" s="445"/>
      <c r="B366" s="452"/>
      <c r="C366" s="2461"/>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445"/>
      <c r="AL366" s="445"/>
      <c r="AM366" s="445"/>
      <c r="AN366" s="439"/>
      <c r="AO366" s="534" t="s">
        <v>2325</v>
      </c>
      <c r="AP366" s="535">
        <f>SUM(AP357:AP365)</f>
        <v>10</v>
      </c>
      <c r="AQ366" s="2370">
        <f>IF(AP366&gt;0,AP366,0)</f>
        <v>10</v>
      </c>
      <c r="AR366" s="2370"/>
    </row>
    <row r="367" spans="1:46" s="398" customFormat="1" ht="12.75" customHeight="1">
      <c r="A367" s="445"/>
      <c r="B367" s="452"/>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1405</v>
      </c>
      <c r="AP368" s="531">
        <f>IF(C430="Yes",5,0)</f>
        <v>0</v>
      </c>
    </row>
    <row r="369" spans="1:81" s="398" customFormat="1" ht="12.75" customHeight="1">
      <c r="A369" s="445"/>
      <c r="B369" s="452"/>
      <c r="C369" s="2367" t="s">
        <v>2326</v>
      </c>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445"/>
      <c r="AL369" s="445"/>
      <c r="AM369" s="445"/>
      <c r="AN369" s="439"/>
      <c r="AO369" s="530" t="s">
        <v>1406</v>
      </c>
      <c r="AP369" s="531">
        <f>IF(C442="Yes",5,0)</f>
        <v>0</v>
      </c>
    </row>
    <row r="370" spans="1:81" s="398" customFormat="1" ht="12.75" customHeight="1">
      <c r="A370" s="445"/>
      <c r="B370" s="452"/>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445"/>
      <c r="AL370" s="445"/>
      <c r="AM370" s="445"/>
      <c r="AN370" s="439"/>
      <c r="AO370" s="530" t="s">
        <v>1407</v>
      </c>
      <c r="AP370" s="531">
        <f>IF(C449="Yes",5,0)</f>
        <v>0</v>
      </c>
    </row>
    <row r="371" spans="1:81" s="398" customFormat="1" ht="68.150000000000006" customHeight="1">
      <c r="A371" s="445"/>
      <c r="B371" s="452"/>
      <c r="C371" s="2367"/>
      <c r="D371" s="2367"/>
      <c r="E371" s="2367"/>
      <c r="F371" s="2367"/>
      <c r="G371" s="2367"/>
      <c r="H371" s="2367"/>
      <c r="I371" s="2367"/>
      <c r="J371" s="2367"/>
      <c r="K371" s="2367"/>
      <c r="L371" s="2367"/>
      <c r="M371" s="2367"/>
      <c r="N371" s="2367"/>
      <c r="O371" s="2367"/>
      <c r="P371" s="2367"/>
      <c r="Q371" s="2367"/>
      <c r="R371" s="2367"/>
      <c r="S371" s="2367"/>
      <c r="T371" s="2367"/>
      <c r="U371" s="2367"/>
      <c r="V371" s="2367"/>
      <c r="W371" s="2367"/>
      <c r="X371" s="2367"/>
      <c r="Y371" s="2367"/>
      <c r="Z371" s="2367"/>
      <c r="AA371" s="2367"/>
      <c r="AB371" s="2367"/>
      <c r="AC371" s="2367"/>
      <c r="AD371" s="2367"/>
      <c r="AE371" s="2367"/>
      <c r="AF371" s="2367"/>
      <c r="AG371" s="2367"/>
      <c r="AH371" s="2367"/>
      <c r="AI371" s="2367"/>
      <c r="AJ371" s="2367"/>
      <c r="AK371" s="445"/>
      <c r="AL371" s="445"/>
      <c r="AM371" s="445"/>
      <c r="AN371" s="439"/>
      <c r="AO371" s="530" t="s">
        <v>1408</v>
      </c>
      <c r="AP371" s="536">
        <f>IF(C453="Yes",5,0)</f>
        <v>0</v>
      </c>
    </row>
    <row r="372" spans="1:81" s="398" customFormat="1" ht="12.65" customHeight="1">
      <c r="A372" s="445"/>
      <c r="B372" s="452"/>
      <c r="C372" s="398" t="s">
        <v>2327</v>
      </c>
      <c r="AF372" s="445"/>
      <c r="AG372" s="445"/>
      <c r="AH372" s="445"/>
      <c r="AI372" s="445"/>
      <c r="AJ372" s="445"/>
      <c r="AK372" s="445"/>
      <c r="AL372" s="445"/>
      <c r="AM372" s="445"/>
      <c r="AN372" s="439"/>
      <c r="AO372" s="530" t="s">
        <v>1409</v>
      </c>
      <c r="AP372" s="531">
        <f>IF(C457="Yes",5,0)</f>
        <v>0</v>
      </c>
    </row>
    <row r="373" spans="1:81" s="398" customFormat="1" ht="12.75" customHeight="1">
      <c r="A373" s="445"/>
      <c r="B373" s="452"/>
      <c r="C373" s="537" t="s">
        <v>2328</v>
      </c>
      <c r="D373" s="538"/>
      <c r="E373" s="538"/>
      <c r="F373" s="538"/>
      <c r="G373" s="538"/>
      <c r="H373" s="538"/>
      <c r="I373" s="538"/>
      <c r="J373" s="538"/>
      <c r="K373" s="538"/>
      <c r="L373" s="538"/>
      <c r="M373" s="504"/>
      <c r="N373" s="504"/>
      <c r="O373" s="539"/>
      <c r="P373" s="538"/>
      <c r="Q373" s="538"/>
      <c r="R373" s="504"/>
      <c r="S373" s="504"/>
      <c r="T373" s="538"/>
      <c r="U373" s="2368">
        <f>Application!DU802-U374</f>
        <v>120</v>
      </c>
      <c r="V373" s="2368"/>
      <c r="W373" s="2368"/>
      <c r="X373" s="538"/>
      <c r="Y373" s="538"/>
      <c r="Z373" s="538"/>
      <c r="AA373" s="540"/>
      <c r="AB373" s="541"/>
      <c r="AC373" s="541"/>
      <c r="AD373" s="541"/>
      <c r="AE373" s="445"/>
      <c r="AF373" s="445"/>
      <c r="AG373" s="445"/>
      <c r="AH373" s="445"/>
      <c r="AI373" s="445"/>
      <c r="AJ373" s="445"/>
      <c r="AK373" s="445"/>
      <c r="AL373" s="445"/>
      <c r="AM373" s="445"/>
      <c r="AN373" s="439"/>
      <c r="AO373" s="530" t="s">
        <v>1410</v>
      </c>
      <c r="AP373" s="531">
        <f>IF(C466="Yes",5,0)</f>
        <v>0</v>
      </c>
    </row>
    <row r="374" spans="1:81" s="398" customFormat="1" ht="12.75" customHeight="1">
      <c r="A374" s="445"/>
      <c r="B374" s="452"/>
      <c r="C374" s="542" t="s">
        <v>2329</v>
      </c>
      <c r="D374" s="529"/>
      <c r="E374" s="529"/>
      <c r="F374" s="529"/>
      <c r="G374" s="529"/>
      <c r="H374" s="529"/>
      <c r="I374" s="529"/>
      <c r="J374" s="529"/>
      <c r="K374" s="529"/>
      <c r="L374" s="529"/>
      <c r="M374" s="529"/>
      <c r="N374" s="529"/>
      <c r="O374" s="529"/>
      <c r="P374" s="529"/>
      <c r="Q374" s="529"/>
      <c r="R374" s="529"/>
      <c r="S374" s="529"/>
      <c r="T374" s="529"/>
      <c r="U374" s="2369">
        <f>IF(Application!D211="SRO",Application!DU755,Application!AG756)</f>
        <v>0</v>
      </c>
      <c r="V374" s="2369"/>
      <c r="W374" s="2369"/>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2325</v>
      </c>
      <c r="AP375" s="546">
        <f>SUM(AP368:AP373)</f>
        <v>0</v>
      </c>
      <c r="AQ375" s="2370">
        <f>IF(AP375&gt;0,AP375,0)</f>
        <v>0</v>
      </c>
      <c r="AR375" s="2370"/>
    </row>
    <row r="376" spans="1:81" s="398" customFormat="1" ht="12.75" customHeight="1">
      <c r="A376" s="445"/>
      <c r="B376" s="11"/>
      <c r="C376" s="547" t="s">
        <v>2330</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2147</v>
      </c>
      <c r="F377" s="2361" t="s">
        <v>2331</v>
      </c>
      <c r="G377" s="2361"/>
      <c r="H377" s="2361"/>
      <c r="I377" s="2361"/>
      <c r="J377" s="2361"/>
      <c r="K377" s="2361"/>
      <c r="L377" s="2361"/>
      <c r="M377" s="2361"/>
      <c r="N377" s="2361"/>
      <c r="O377" s="2361"/>
      <c r="P377" s="2361"/>
      <c r="Q377" s="2361"/>
      <c r="R377" s="2361"/>
      <c r="S377" s="2361"/>
      <c r="T377" s="2361"/>
      <c r="U377" s="2361"/>
      <c r="V377" s="2361"/>
      <c r="W377" s="2361"/>
      <c r="X377" s="2361"/>
      <c r="Y377" s="2361"/>
      <c r="Z377" s="2361"/>
      <c r="AA377" s="2361"/>
      <c r="AB377" s="2361"/>
      <c r="AC377" s="2361"/>
      <c r="AD377" s="2361"/>
      <c r="AE377" s="2361"/>
      <c r="AF377" s="2361"/>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2362"/>
      <c r="G378" s="2362"/>
      <c r="H378" s="2362"/>
      <c r="I378" s="2362"/>
      <c r="J378" s="2362"/>
      <c r="K378" s="2362"/>
      <c r="L378" s="2362"/>
      <c r="M378" s="2362"/>
      <c r="N378" s="2362"/>
      <c r="O378" s="2362"/>
      <c r="P378" s="2362"/>
      <c r="Q378" s="2362"/>
      <c r="R378" s="2362"/>
      <c r="S378" s="2362"/>
      <c r="T378" s="2362"/>
      <c r="U378" s="2362"/>
      <c r="V378" s="2362"/>
      <c r="W378" s="2362"/>
      <c r="X378" s="2362"/>
      <c r="Y378" s="2362"/>
      <c r="Z378" s="2362"/>
      <c r="AA378" s="2362"/>
      <c r="AB378" s="2362"/>
      <c r="AC378" s="2362"/>
      <c r="AD378" s="2362"/>
      <c r="AE378" s="2362"/>
      <c r="AF378" s="2362"/>
      <c r="AG378" s="388"/>
      <c r="AH378" s="388"/>
      <c r="AI378" s="388"/>
      <c r="AJ378" s="388"/>
      <c r="AK378" s="388"/>
      <c r="AL378" s="1205"/>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2362"/>
      <c r="G379" s="2362"/>
      <c r="H379" s="2362"/>
      <c r="I379" s="2362"/>
      <c r="J379" s="2362"/>
      <c r="K379" s="2362"/>
      <c r="L379" s="2362"/>
      <c r="M379" s="2362"/>
      <c r="N379" s="2362"/>
      <c r="O379" s="2362"/>
      <c r="P379" s="2362"/>
      <c r="Q379" s="2362"/>
      <c r="R379" s="2362"/>
      <c r="S379" s="2362"/>
      <c r="T379" s="2362"/>
      <c r="U379" s="2362"/>
      <c r="V379" s="2362"/>
      <c r="W379" s="2362"/>
      <c r="X379" s="2362"/>
      <c r="Y379" s="2362"/>
      <c r="Z379" s="2362"/>
      <c r="AA379" s="2362"/>
      <c r="AB379" s="2362"/>
      <c r="AC379" s="2362"/>
      <c r="AD379" s="2362"/>
      <c r="AE379" s="2362"/>
      <c r="AF379" s="2362"/>
      <c r="AG379" s="388"/>
      <c r="AH379" s="388"/>
      <c r="AI379" s="388"/>
      <c r="AJ379" s="388"/>
      <c r="AK379" s="388"/>
      <c r="AL379" s="1205"/>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2362"/>
      <c r="G380" s="2362"/>
      <c r="H380" s="2362"/>
      <c r="I380" s="2362"/>
      <c r="J380" s="2362"/>
      <c r="K380" s="2362"/>
      <c r="L380" s="2362"/>
      <c r="M380" s="2362"/>
      <c r="N380" s="2362"/>
      <c r="O380" s="2362"/>
      <c r="P380" s="2362"/>
      <c r="Q380" s="2362"/>
      <c r="R380" s="2362"/>
      <c r="S380" s="2362"/>
      <c r="T380" s="2362"/>
      <c r="U380" s="2362"/>
      <c r="V380" s="2362"/>
      <c r="W380" s="2362"/>
      <c r="X380" s="2362"/>
      <c r="Y380" s="2362"/>
      <c r="Z380" s="2362"/>
      <c r="AA380" s="2362"/>
      <c r="AB380" s="2362"/>
      <c r="AC380" s="2362"/>
      <c r="AD380" s="2362"/>
      <c r="AE380" s="2362"/>
      <c r="AF380" s="2362"/>
      <c r="AG380" s="388"/>
      <c r="AH380" s="388"/>
      <c r="AI380" s="388"/>
      <c r="AJ380" s="388"/>
      <c r="AK380" s="388"/>
      <c r="AL380" s="1205"/>
      <c r="AM380" s="416"/>
      <c r="AN380" s="439"/>
      <c r="BS380" s="23"/>
      <c r="BT380" s="23"/>
      <c r="BU380" s="11"/>
      <c r="BV380" s="11"/>
      <c r="BW380" s="11"/>
      <c r="BX380" s="11"/>
      <c r="BY380" s="11"/>
      <c r="BZ380" s="11"/>
      <c r="CA380" s="11"/>
      <c r="CB380" s="11"/>
      <c r="CC380" s="11"/>
    </row>
    <row r="381" spans="1:81" s="398" customFormat="1" ht="12.75" customHeight="1">
      <c r="A381" s="385"/>
      <c r="B381" s="11"/>
      <c r="C381" s="2371" t="s">
        <v>798</v>
      </c>
      <c r="D381" s="2372"/>
      <c r="E381" s="554"/>
      <c r="F381" s="555" t="s">
        <v>2332</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2373" t="s">
        <v>2333</v>
      </c>
      <c r="AG381" s="2373"/>
      <c r="AH381" s="2373"/>
      <c r="AI381" s="2373"/>
      <c r="AJ381" s="2373"/>
      <c r="AK381" s="2373"/>
      <c r="AL381" s="2374"/>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219"/>
      <c r="D383" s="1219"/>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204"/>
      <c r="AF383" s="1204"/>
      <c r="AG383" s="1204"/>
      <c r="AH383" s="1204"/>
      <c r="AI383" s="1204"/>
      <c r="AJ383" s="1204"/>
      <c r="AK383" s="1204"/>
      <c r="AL383" s="1204"/>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2150</v>
      </c>
      <c r="F384" s="2361" t="s">
        <v>2334</v>
      </c>
      <c r="G384" s="2361"/>
      <c r="H384" s="2361"/>
      <c r="I384" s="2361"/>
      <c r="J384" s="2361"/>
      <c r="K384" s="2361"/>
      <c r="L384" s="2361"/>
      <c r="M384" s="2361"/>
      <c r="N384" s="2361"/>
      <c r="O384" s="2361"/>
      <c r="P384" s="2361"/>
      <c r="Q384" s="2361"/>
      <c r="R384" s="2361"/>
      <c r="S384" s="2361"/>
      <c r="T384" s="2361"/>
      <c r="U384" s="2361"/>
      <c r="V384" s="2361"/>
      <c r="W384" s="2361"/>
      <c r="X384" s="2361"/>
      <c r="Y384" s="2361"/>
      <c r="Z384" s="2361"/>
      <c r="AA384" s="2361"/>
      <c r="AB384" s="2361"/>
      <c r="AC384" s="2361"/>
      <c r="AD384" s="2361"/>
      <c r="AE384" s="2361"/>
      <c r="AF384" s="2361"/>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2362"/>
      <c r="G385" s="2362"/>
      <c r="H385" s="2362"/>
      <c r="I385" s="2362"/>
      <c r="J385" s="2362"/>
      <c r="K385" s="2362"/>
      <c r="L385" s="2362"/>
      <c r="M385" s="2362"/>
      <c r="N385" s="2362"/>
      <c r="O385" s="2362"/>
      <c r="P385" s="2362"/>
      <c r="Q385" s="2362"/>
      <c r="R385" s="2362"/>
      <c r="S385" s="2362"/>
      <c r="T385" s="2362"/>
      <c r="U385" s="2362"/>
      <c r="V385" s="2362"/>
      <c r="W385" s="2362"/>
      <c r="X385" s="2362"/>
      <c r="Y385" s="2362"/>
      <c r="Z385" s="2362"/>
      <c r="AA385" s="2362"/>
      <c r="AB385" s="2362"/>
      <c r="AC385" s="2362"/>
      <c r="AD385" s="2362"/>
      <c r="AE385" s="2362"/>
      <c r="AF385" s="2362"/>
      <c r="AG385" s="388"/>
      <c r="AH385" s="388"/>
      <c r="AI385" s="388"/>
      <c r="AJ385" s="388"/>
      <c r="AK385" s="388"/>
      <c r="AL385" s="1205"/>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2362"/>
      <c r="G386" s="2362"/>
      <c r="H386" s="2362"/>
      <c r="I386" s="2362"/>
      <c r="J386" s="2362"/>
      <c r="K386" s="2362"/>
      <c r="L386" s="2362"/>
      <c r="M386" s="2362"/>
      <c r="N386" s="2362"/>
      <c r="O386" s="2362"/>
      <c r="P386" s="2362"/>
      <c r="Q386" s="2362"/>
      <c r="R386" s="2362"/>
      <c r="S386" s="2362"/>
      <c r="T386" s="2362"/>
      <c r="U386" s="2362"/>
      <c r="V386" s="2362"/>
      <c r="W386" s="2362"/>
      <c r="X386" s="2362"/>
      <c r="Y386" s="2362"/>
      <c r="Z386" s="2362"/>
      <c r="AA386" s="2362"/>
      <c r="AB386" s="2362"/>
      <c r="AC386" s="2362"/>
      <c r="AD386" s="2362"/>
      <c r="AE386" s="2362"/>
      <c r="AF386" s="2362"/>
      <c r="AG386" s="388"/>
      <c r="AH386" s="388"/>
      <c r="AI386" s="388"/>
      <c r="AJ386" s="388"/>
      <c r="AK386" s="388"/>
      <c r="AL386" s="1205"/>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2362"/>
      <c r="G387" s="2362"/>
      <c r="H387" s="2362"/>
      <c r="I387" s="2362"/>
      <c r="J387" s="2362"/>
      <c r="K387" s="2362"/>
      <c r="L387" s="2362"/>
      <c r="M387" s="2362"/>
      <c r="N387" s="2362"/>
      <c r="O387" s="2362"/>
      <c r="P387" s="2362"/>
      <c r="Q387" s="2362"/>
      <c r="R387" s="2362"/>
      <c r="S387" s="2362"/>
      <c r="T387" s="2362"/>
      <c r="U387" s="2362"/>
      <c r="V387" s="2362"/>
      <c r="W387" s="2362"/>
      <c r="X387" s="2362"/>
      <c r="Y387" s="2362"/>
      <c r="Z387" s="2362"/>
      <c r="AA387" s="2362"/>
      <c r="AB387" s="2362"/>
      <c r="AC387" s="2362"/>
      <c r="AD387" s="2362"/>
      <c r="AE387" s="2362"/>
      <c r="AF387" s="2362"/>
      <c r="AG387" s="388"/>
      <c r="AH387" s="388"/>
      <c r="AI387" s="388"/>
      <c r="AJ387" s="388"/>
      <c r="AK387" s="388"/>
      <c r="AL387" s="1205"/>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2362"/>
      <c r="G388" s="2362"/>
      <c r="H388" s="2362"/>
      <c r="I388" s="2362"/>
      <c r="J388" s="2362"/>
      <c r="K388" s="2362"/>
      <c r="L388" s="2362"/>
      <c r="M388" s="2362"/>
      <c r="N388" s="2362"/>
      <c r="O388" s="2362"/>
      <c r="P388" s="2362"/>
      <c r="Q388" s="2362"/>
      <c r="R388" s="2362"/>
      <c r="S388" s="2362"/>
      <c r="T388" s="2362"/>
      <c r="U388" s="2362"/>
      <c r="V388" s="2362"/>
      <c r="W388" s="2362"/>
      <c r="X388" s="2362"/>
      <c r="Y388" s="2362"/>
      <c r="Z388" s="2362"/>
      <c r="AA388" s="2362"/>
      <c r="AB388" s="2362"/>
      <c r="AC388" s="2362"/>
      <c r="AD388" s="2362"/>
      <c r="AE388" s="2362"/>
      <c r="AF388" s="2362"/>
      <c r="AL388" s="565"/>
      <c r="AN388" s="439"/>
      <c r="BS388" s="23"/>
      <c r="BT388" s="23"/>
      <c r="BU388" s="11"/>
      <c r="BV388" s="11"/>
      <c r="BW388" s="11"/>
      <c r="BX388" s="11"/>
      <c r="BY388" s="11"/>
      <c r="BZ388" s="11"/>
      <c r="CA388" s="11"/>
      <c r="CB388" s="11"/>
      <c r="CC388" s="11"/>
    </row>
    <row r="389" spans="1:81" s="398" customFormat="1" ht="12.75" customHeight="1">
      <c r="A389" s="385"/>
      <c r="B389" s="11"/>
      <c r="C389" s="2371" t="s">
        <v>798</v>
      </c>
      <c r="D389" s="2372"/>
      <c r="E389" s="527"/>
      <c r="F389" s="555" t="s">
        <v>2335</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2373" t="s">
        <v>2333</v>
      </c>
      <c r="AG389" s="2373"/>
      <c r="AH389" s="2373"/>
      <c r="AI389" s="2373"/>
      <c r="AJ389" s="2373"/>
      <c r="AK389" s="2373"/>
      <c r="AL389" s="2374"/>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388"/>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2156</v>
      </c>
      <c r="F392" s="2361" t="s">
        <v>2336</v>
      </c>
      <c r="G392" s="2361"/>
      <c r="H392" s="2361"/>
      <c r="I392" s="2361"/>
      <c r="J392" s="2361"/>
      <c r="K392" s="2361"/>
      <c r="L392" s="2361"/>
      <c r="M392" s="2361"/>
      <c r="N392" s="2361"/>
      <c r="O392" s="2361"/>
      <c r="P392" s="2361"/>
      <c r="Q392" s="2361"/>
      <c r="R392" s="2361"/>
      <c r="S392" s="2361"/>
      <c r="T392" s="2361"/>
      <c r="U392" s="2361"/>
      <c r="V392" s="2361"/>
      <c r="W392" s="2361"/>
      <c r="X392" s="2361"/>
      <c r="Y392" s="2361"/>
      <c r="Z392" s="2361"/>
      <c r="AA392" s="2361"/>
      <c r="AB392" s="2361"/>
      <c r="AC392" s="2361"/>
      <c r="AD392" s="2361"/>
      <c r="AE392" s="2361"/>
      <c r="AF392" s="2361"/>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2362"/>
      <c r="G393" s="2362"/>
      <c r="H393" s="2362"/>
      <c r="I393" s="2362"/>
      <c r="J393" s="2362"/>
      <c r="K393" s="2362"/>
      <c r="L393" s="2362"/>
      <c r="M393" s="2362"/>
      <c r="N393" s="2362"/>
      <c r="O393" s="2362"/>
      <c r="P393" s="2362"/>
      <c r="Q393" s="2362"/>
      <c r="R393" s="2362"/>
      <c r="S393" s="2362"/>
      <c r="T393" s="2362"/>
      <c r="U393" s="2362"/>
      <c r="V393" s="2362"/>
      <c r="W393" s="2362"/>
      <c r="X393" s="2362"/>
      <c r="Y393" s="2362"/>
      <c r="Z393" s="2362"/>
      <c r="AA393" s="2362"/>
      <c r="AB393" s="2362"/>
      <c r="AC393" s="2362"/>
      <c r="AD393" s="2362"/>
      <c r="AE393" s="2362"/>
      <c r="AF393" s="2362"/>
      <c r="AG393" s="388"/>
      <c r="AH393" s="388"/>
      <c r="AI393" s="388"/>
      <c r="AJ393" s="388"/>
      <c r="AK393" s="388"/>
      <c r="AL393" s="1205"/>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2362"/>
      <c r="G394" s="2362"/>
      <c r="H394" s="2362"/>
      <c r="I394" s="2362"/>
      <c r="J394" s="2362"/>
      <c r="K394" s="2362"/>
      <c r="L394" s="2362"/>
      <c r="M394" s="2362"/>
      <c r="N394" s="2362"/>
      <c r="O394" s="2362"/>
      <c r="P394" s="2362"/>
      <c r="Q394" s="2362"/>
      <c r="R394" s="2362"/>
      <c r="S394" s="2362"/>
      <c r="T394" s="2362"/>
      <c r="U394" s="2362"/>
      <c r="V394" s="2362"/>
      <c r="W394" s="2362"/>
      <c r="X394" s="2362"/>
      <c r="Y394" s="2362"/>
      <c r="Z394" s="2362"/>
      <c r="AA394" s="2362"/>
      <c r="AB394" s="2362"/>
      <c r="AC394" s="2362"/>
      <c r="AD394" s="2362"/>
      <c r="AE394" s="2362"/>
      <c r="AF394" s="2362"/>
      <c r="AG394" s="388"/>
      <c r="AH394" s="388"/>
      <c r="AI394" s="388"/>
      <c r="AJ394" s="388"/>
      <c r="AK394" s="388"/>
      <c r="AL394" s="1205"/>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2362"/>
      <c r="G395" s="2362"/>
      <c r="H395" s="2362"/>
      <c r="I395" s="2362"/>
      <c r="J395" s="2362"/>
      <c r="K395" s="2362"/>
      <c r="L395" s="2362"/>
      <c r="M395" s="2362"/>
      <c r="N395" s="2362"/>
      <c r="O395" s="2362"/>
      <c r="P395" s="2362"/>
      <c r="Q395" s="2362"/>
      <c r="R395" s="2362"/>
      <c r="S395" s="2362"/>
      <c r="T395" s="2362"/>
      <c r="U395" s="2362"/>
      <c r="V395" s="2362"/>
      <c r="W395" s="2362"/>
      <c r="X395" s="2362"/>
      <c r="Y395" s="2362"/>
      <c r="Z395" s="2362"/>
      <c r="AA395" s="2362"/>
      <c r="AB395" s="2362"/>
      <c r="AC395" s="2362"/>
      <c r="AD395" s="2362"/>
      <c r="AE395" s="2362"/>
      <c r="AF395" s="2362"/>
      <c r="AG395" s="388"/>
      <c r="AH395" s="388"/>
      <c r="AI395" s="388"/>
      <c r="AJ395" s="388"/>
      <c r="AK395" s="388"/>
      <c r="AL395" s="1205"/>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2362"/>
      <c r="G396" s="2362"/>
      <c r="H396" s="2362"/>
      <c r="I396" s="2362"/>
      <c r="J396" s="2362"/>
      <c r="K396" s="2362"/>
      <c r="L396" s="2362"/>
      <c r="M396" s="2362"/>
      <c r="N396" s="2362"/>
      <c r="O396" s="2362"/>
      <c r="P396" s="2362"/>
      <c r="Q396" s="2362"/>
      <c r="R396" s="2362"/>
      <c r="S396" s="2362"/>
      <c r="T396" s="2362"/>
      <c r="U396" s="2362"/>
      <c r="V396" s="2362"/>
      <c r="W396" s="2362"/>
      <c r="X396" s="2362"/>
      <c r="Y396" s="2362"/>
      <c r="Z396" s="2362"/>
      <c r="AA396" s="2362"/>
      <c r="AB396" s="2362"/>
      <c r="AC396" s="2362"/>
      <c r="AD396" s="2362"/>
      <c r="AE396" s="2362"/>
      <c r="AF396" s="2362"/>
      <c r="AG396" s="388"/>
      <c r="AH396" s="388"/>
      <c r="AI396" s="388"/>
      <c r="AJ396" s="388"/>
      <c r="AK396" s="388"/>
      <c r="AL396" s="1205"/>
      <c r="AM396" s="416"/>
      <c r="AN396" s="439"/>
      <c r="BS396" s="416"/>
      <c r="BT396" s="416"/>
      <c r="BU396" s="416"/>
      <c r="BV396" s="416"/>
      <c r="BW396" s="416"/>
      <c r="BX396" s="416"/>
      <c r="BY396" s="416"/>
      <c r="BZ396" s="416"/>
      <c r="CA396" s="416"/>
      <c r="CB396" s="416"/>
      <c r="CC396" s="416"/>
    </row>
    <row r="397" spans="1:81" s="398" customFormat="1" ht="12.75" customHeight="1">
      <c r="A397" s="385"/>
      <c r="B397" s="11"/>
      <c r="C397" s="2371" t="s">
        <v>798</v>
      </c>
      <c r="D397" s="2372"/>
      <c r="E397" s="527"/>
      <c r="F397" s="555" t="s">
        <v>2337</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2373" t="s">
        <v>2338</v>
      </c>
      <c r="AG397" s="2373"/>
      <c r="AH397" s="2373"/>
      <c r="AI397" s="2373"/>
      <c r="AJ397" s="2373"/>
      <c r="AK397" s="2373"/>
      <c r="AL397" s="2374"/>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207"/>
      <c r="G398" s="1207"/>
      <c r="H398" s="1207"/>
      <c r="I398" s="1207"/>
      <c r="J398" s="1207"/>
      <c r="K398" s="1207"/>
      <c r="L398" s="1207"/>
      <c r="M398" s="1207"/>
      <c r="N398" s="1207"/>
      <c r="O398" s="1207"/>
      <c r="P398" s="1207"/>
      <c r="Q398" s="1207"/>
      <c r="R398" s="1207"/>
      <c r="S398" s="1207"/>
      <c r="T398" s="1207"/>
      <c r="U398" s="1207"/>
      <c r="V398" s="1207"/>
      <c r="W398" s="1207"/>
      <c r="X398" s="1207"/>
      <c r="Y398" s="1207"/>
      <c r="Z398" s="1207"/>
      <c r="AA398" s="1207"/>
      <c r="AB398" s="1207"/>
      <c r="AC398" s="1207"/>
      <c r="AD398" s="1207"/>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2371" t="s">
        <v>847</v>
      </c>
      <c r="D399" s="2372"/>
      <c r="E399" s="527"/>
      <c r="F399" s="571" t="s">
        <v>2339</v>
      </c>
      <c r="G399" s="1207"/>
      <c r="H399" s="1207"/>
      <c r="I399" s="1207"/>
      <c r="J399" s="1207"/>
      <c r="K399" s="1207"/>
      <c r="L399" s="1207"/>
      <c r="M399" s="1207"/>
      <c r="N399" s="1207"/>
      <c r="O399" s="1207"/>
      <c r="P399" s="1207"/>
      <c r="Q399" s="1207"/>
      <c r="R399" s="1207"/>
      <c r="S399" s="1207"/>
      <c r="T399" s="1207"/>
      <c r="U399" s="1207"/>
      <c r="V399" s="1207"/>
      <c r="W399" s="1207"/>
      <c r="X399" s="1207"/>
      <c r="Y399" s="1207"/>
      <c r="Z399" s="1207"/>
      <c r="AA399" s="1207"/>
      <c r="AB399" s="1207"/>
      <c r="AC399" s="1207"/>
      <c r="AD399" s="1207"/>
      <c r="AF399" s="2373" t="s">
        <v>2333</v>
      </c>
      <c r="AG399" s="2373"/>
      <c r="AH399" s="2373"/>
      <c r="AI399" s="2373"/>
      <c r="AJ399" s="2373"/>
      <c r="AK399" s="2373"/>
      <c r="AL399" s="2374"/>
      <c r="AM399" s="416"/>
      <c r="AN399" s="439"/>
      <c r="BS399" s="416"/>
      <c r="BT399" s="416"/>
      <c r="BU399" s="416"/>
    </row>
    <row r="400" spans="1:81" s="398" customFormat="1" ht="12.75" customHeight="1">
      <c r="A400" s="385"/>
      <c r="B400" s="11"/>
      <c r="C400" s="572"/>
      <c r="E400" s="527"/>
      <c r="G400" s="1207"/>
      <c r="H400" s="1207"/>
      <c r="I400" s="1207"/>
      <c r="J400" s="1207"/>
      <c r="K400" s="1207"/>
      <c r="L400" s="1207"/>
      <c r="M400" s="1207"/>
      <c r="N400" s="1207"/>
      <c r="O400" s="1207"/>
      <c r="P400" s="1207"/>
      <c r="Q400" s="1207"/>
      <c r="R400" s="1207"/>
      <c r="S400" s="1207"/>
      <c r="T400" s="1207"/>
      <c r="U400" s="1207"/>
      <c r="V400" s="1207"/>
      <c r="W400" s="1207"/>
      <c r="X400" s="1207"/>
      <c r="Y400" s="1207"/>
      <c r="Z400" s="1207"/>
      <c r="AA400" s="1207"/>
      <c r="AB400" s="1207"/>
      <c r="AC400" s="1207"/>
      <c r="AD400" s="1207"/>
      <c r="AL400" s="565"/>
      <c r="AM400" s="416"/>
      <c r="AN400" s="439"/>
      <c r="BS400" s="416"/>
      <c r="BT400" s="416"/>
      <c r="BU400" s="416"/>
    </row>
    <row r="401" spans="1:81" s="398" customFormat="1" ht="12.75" customHeight="1">
      <c r="A401" s="385"/>
      <c r="B401" s="11"/>
      <c r="C401" s="573"/>
      <c r="D401" s="566"/>
      <c r="E401" s="567"/>
      <c r="F401" s="574" t="s">
        <v>2340</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388"/>
      <c r="AG402" s="385"/>
      <c r="AM402" s="416"/>
      <c r="AN402" s="439"/>
      <c r="BS402" s="416"/>
      <c r="BT402" s="416"/>
      <c r="BU402" s="416"/>
    </row>
    <row r="403" spans="1:81" s="398" customFormat="1" ht="12.75" customHeight="1">
      <c r="A403" s="385"/>
      <c r="B403" s="11"/>
      <c r="C403" s="548"/>
      <c r="D403" s="549"/>
      <c r="E403" s="550" t="s">
        <v>2341</v>
      </c>
      <c r="F403" s="2361" t="s">
        <v>2342</v>
      </c>
      <c r="G403" s="2361"/>
      <c r="H403" s="2361"/>
      <c r="I403" s="2361"/>
      <c r="J403" s="2361"/>
      <c r="K403" s="2361"/>
      <c r="L403" s="2361"/>
      <c r="M403" s="2361"/>
      <c r="N403" s="2361"/>
      <c r="O403" s="2361"/>
      <c r="P403" s="2361"/>
      <c r="Q403" s="2361"/>
      <c r="R403" s="2361"/>
      <c r="S403" s="2361"/>
      <c r="T403" s="2361"/>
      <c r="U403" s="2361"/>
      <c r="V403" s="2361"/>
      <c r="W403" s="2361"/>
      <c r="X403" s="2361"/>
      <c r="Y403" s="2361"/>
      <c r="Z403" s="2361"/>
      <c r="AA403" s="2361"/>
      <c r="AB403" s="2361"/>
      <c r="AC403" s="2361"/>
      <c r="AD403" s="2361"/>
      <c r="AE403" s="2361"/>
      <c r="AF403" s="2361"/>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2362"/>
      <c r="G404" s="2362"/>
      <c r="H404" s="2362"/>
      <c r="I404" s="2362"/>
      <c r="J404" s="2362"/>
      <c r="K404" s="2362"/>
      <c r="L404" s="2362"/>
      <c r="M404" s="2362"/>
      <c r="N404" s="2362"/>
      <c r="O404" s="2362"/>
      <c r="P404" s="2362"/>
      <c r="Q404" s="2362"/>
      <c r="R404" s="2362"/>
      <c r="S404" s="2362"/>
      <c r="T404" s="2362"/>
      <c r="U404" s="2362"/>
      <c r="V404" s="2362"/>
      <c r="W404" s="2362"/>
      <c r="X404" s="2362"/>
      <c r="Y404" s="2362"/>
      <c r="Z404" s="2362"/>
      <c r="AA404" s="2362"/>
      <c r="AB404" s="2362"/>
      <c r="AC404" s="2362"/>
      <c r="AD404" s="2362"/>
      <c r="AE404" s="2362"/>
      <c r="AF404" s="2362"/>
      <c r="AG404" s="388"/>
      <c r="AH404" s="388"/>
      <c r="AI404" s="388"/>
      <c r="AJ404" s="388"/>
      <c r="AK404" s="388"/>
      <c r="AL404" s="1205"/>
      <c r="AM404" s="416"/>
      <c r="AN404" s="439"/>
      <c r="BS404" s="416"/>
      <c r="BT404" s="416"/>
      <c r="BU404" s="416"/>
      <c r="BV404" s="416"/>
      <c r="BW404" s="416"/>
      <c r="BX404" s="416"/>
      <c r="BY404" s="416"/>
      <c r="BZ404" s="416"/>
      <c r="CA404" s="416"/>
      <c r="CB404" s="416"/>
      <c r="CC404" s="416"/>
    </row>
    <row r="405" spans="1:81" ht="13">
      <c r="A405" s="385"/>
      <c r="C405" s="564"/>
      <c r="E405" s="527"/>
      <c r="F405" s="2362"/>
      <c r="G405" s="2362"/>
      <c r="H405" s="2362"/>
      <c r="I405" s="2362"/>
      <c r="J405" s="2362"/>
      <c r="K405" s="2362"/>
      <c r="L405" s="2362"/>
      <c r="M405" s="2362"/>
      <c r="N405" s="2362"/>
      <c r="O405" s="2362"/>
      <c r="P405" s="2362"/>
      <c r="Q405" s="2362"/>
      <c r="R405" s="2362"/>
      <c r="S405" s="2362"/>
      <c r="T405" s="2362"/>
      <c r="U405" s="2362"/>
      <c r="V405" s="2362"/>
      <c r="W405" s="2362"/>
      <c r="X405" s="2362"/>
      <c r="Y405" s="2362"/>
      <c r="Z405" s="2362"/>
      <c r="AA405" s="2362"/>
      <c r="AB405" s="2362"/>
      <c r="AC405" s="2362"/>
      <c r="AD405" s="2362"/>
      <c r="AE405" s="2362"/>
      <c r="AF405" s="2362"/>
      <c r="AG405" s="388"/>
      <c r="AH405" s="388"/>
      <c r="AI405" s="388"/>
      <c r="AJ405" s="388"/>
      <c r="AK405" s="388"/>
      <c r="AL405" s="1205"/>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2362"/>
      <c r="G406" s="2362"/>
      <c r="H406" s="2362"/>
      <c r="I406" s="2362"/>
      <c r="J406" s="2362"/>
      <c r="K406" s="2362"/>
      <c r="L406" s="2362"/>
      <c r="M406" s="2362"/>
      <c r="N406" s="2362"/>
      <c r="O406" s="2362"/>
      <c r="P406" s="2362"/>
      <c r="Q406" s="2362"/>
      <c r="R406" s="2362"/>
      <c r="S406" s="2362"/>
      <c r="T406" s="2362"/>
      <c r="U406" s="2362"/>
      <c r="V406" s="2362"/>
      <c r="W406" s="2362"/>
      <c r="X406" s="2362"/>
      <c r="Y406" s="2362"/>
      <c r="Z406" s="2362"/>
      <c r="AA406" s="2362"/>
      <c r="AB406" s="2362"/>
      <c r="AC406" s="2362"/>
      <c r="AD406" s="2362"/>
      <c r="AE406" s="2362"/>
      <c r="AF406" s="2362"/>
      <c r="AG406" s="388"/>
      <c r="AH406" s="388"/>
      <c r="AI406" s="388"/>
      <c r="AJ406" s="388"/>
      <c r="AK406" s="388"/>
      <c r="AL406" s="1205"/>
      <c r="AM406" s="416"/>
      <c r="AN406" s="439"/>
      <c r="BS406" s="416"/>
      <c r="BT406" s="416"/>
      <c r="BY406" s="416"/>
      <c r="BZ406" s="416"/>
      <c r="CA406" s="416"/>
      <c r="CB406" s="416"/>
      <c r="CC406" s="416"/>
    </row>
    <row r="407" spans="1:81" s="398" customFormat="1" ht="12.75" customHeight="1">
      <c r="A407" s="385"/>
      <c r="B407" s="11"/>
      <c r="C407" s="2371" t="s">
        <v>798</v>
      </c>
      <c r="D407" s="2372"/>
      <c r="E407" s="527"/>
      <c r="F407" s="555" t="s">
        <v>2343</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2373" t="s">
        <v>2333</v>
      </c>
      <c r="AG407" s="2373"/>
      <c r="AH407" s="2373"/>
      <c r="AI407" s="2373"/>
      <c r="AJ407" s="2373"/>
      <c r="AK407" s="2373"/>
      <c r="AL407" s="2374"/>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2371" t="s">
        <v>798</v>
      </c>
      <c r="D409" s="2372"/>
      <c r="E409" s="554"/>
      <c r="F409" s="555" t="s">
        <v>2344</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2373" t="s">
        <v>2345</v>
      </c>
      <c r="AG409" s="2373"/>
      <c r="AH409" s="2373"/>
      <c r="AI409" s="2373"/>
      <c r="AJ409" s="2373"/>
      <c r="AK409" s="2373"/>
      <c r="AL409" s="2374"/>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388"/>
      <c r="AG411" s="385"/>
      <c r="AM411" s="416"/>
      <c r="AN411" s="439"/>
      <c r="BS411" s="416"/>
      <c r="BT411" s="416"/>
      <c r="BY411" s="416"/>
      <c r="BZ411" s="416"/>
      <c r="CA411" s="416"/>
      <c r="CB411" s="416"/>
      <c r="CC411" s="416"/>
    </row>
    <row r="412" spans="1:81" s="398" customFormat="1" ht="12.75" customHeight="1">
      <c r="A412" s="385"/>
      <c r="B412" s="11"/>
      <c r="C412" s="2371" t="s">
        <v>798</v>
      </c>
      <c r="D412" s="2372"/>
      <c r="E412" s="550" t="s">
        <v>2346</v>
      </c>
      <c r="F412" s="2361" t="s">
        <v>2347</v>
      </c>
      <c r="G412" s="2361"/>
      <c r="H412" s="2361"/>
      <c r="I412" s="2361"/>
      <c r="J412" s="2361"/>
      <c r="K412" s="2361"/>
      <c r="L412" s="2361"/>
      <c r="M412" s="2361"/>
      <c r="N412" s="2361"/>
      <c r="O412" s="2361"/>
      <c r="P412" s="2361"/>
      <c r="Q412" s="2361"/>
      <c r="R412" s="2361"/>
      <c r="S412" s="2361"/>
      <c r="T412" s="2361"/>
      <c r="U412" s="2361"/>
      <c r="V412" s="2361"/>
      <c r="W412" s="2361"/>
      <c r="X412" s="2361"/>
      <c r="Y412" s="2361"/>
      <c r="Z412" s="2361"/>
      <c r="AA412" s="2361"/>
      <c r="AB412" s="2361"/>
      <c r="AC412" s="2361"/>
      <c r="AD412" s="2361"/>
      <c r="AE412" s="2361"/>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2362"/>
      <c r="G413" s="2362"/>
      <c r="H413" s="2362"/>
      <c r="I413" s="2362"/>
      <c r="J413" s="2362"/>
      <c r="K413" s="2362"/>
      <c r="L413" s="2362"/>
      <c r="M413" s="2362"/>
      <c r="N413" s="2362"/>
      <c r="O413" s="2362"/>
      <c r="P413" s="2362"/>
      <c r="Q413" s="2362"/>
      <c r="R413" s="2362"/>
      <c r="S413" s="2362"/>
      <c r="T413" s="2362"/>
      <c r="U413" s="2362"/>
      <c r="V413" s="2362"/>
      <c r="W413" s="2362"/>
      <c r="X413" s="2362"/>
      <c r="Y413" s="2362"/>
      <c r="Z413" s="2362"/>
      <c r="AA413" s="2362"/>
      <c r="AB413" s="2362"/>
      <c r="AC413" s="2362"/>
      <c r="AD413" s="2362"/>
      <c r="AE413" s="2362"/>
      <c r="AF413" s="2451" t="s">
        <v>2333</v>
      </c>
      <c r="AG413" s="2451"/>
      <c r="AH413" s="2451"/>
      <c r="AI413" s="2451"/>
      <c r="AJ413" s="2451"/>
      <c r="AK413" s="2451"/>
      <c r="AL413" s="2460"/>
      <c r="AM413" s="416"/>
      <c r="AN413" s="439"/>
      <c r="BS413" s="416"/>
      <c r="BT413" s="416"/>
      <c r="BY413" s="416"/>
      <c r="BZ413" s="416"/>
      <c r="CA413" s="416"/>
      <c r="CB413" s="416"/>
      <c r="CC413" s="416"/>
    </row>
    <row r="414" spans="1:81" s="398" customFormat="1" ht="12.75" customHeight="1">
      <c r="A414" s="385"/>
      <c r="B414" s="11"/>
      <c r="C414" s="564"/>
      <c r="D414" s="11"/>
      <c r="E414" s="527"/>
      <c r="F414" s="2362"/>
      <c r="G414" s="2362"/>
      <c r="H414" s="2362"/>
      <c r="I414" s="2362"/>
      <c r="J414" s="2362"/>
      <c r="K414" s="2362"/>
      <c r="L414" s="2362"/>
      <c r="M414" s="2362"/>
      <c r="N414" s="2362"/>
      <c r="O414" s="2362"/>
      <c r="P414" s="2362"/>
      <c r="Q414" s="2362"/>
      <c r="R414" s="2362"/>
      <c r="S414" s="2362"/>
      <c r="T414" s="2362"/>
      <c r="U414" s="2362"/>
      <c r="V414" s="2362"/>
      <c r="W414" s="2362"/>
      <c r="X414" s="2362"/>
      <c r="Y414" s="2362"/>
      <c r="Z414" s="2362"/>
      <c r="AA414" s="2362"/>
      <c r="AB414" s="2362"/>
      <c r="AC414" s="2362"/>
      <c r="AD414" s="2362"/>
      <c r="AE414" s="2362"/>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2363"/>
      <c r="G415" s="2363"/>
      <c r="H415" s="2363"/>
      <c r="I415" s="2363"/>
      <c r="J415" s="2363"/>
      <c r="K415" s="2363"/>
      <c r="L415" s="2363"/>
      <c r="M415" s="2363"/>
      <c r="N415" s="2363"/>
      <c r="O415" s="2363"/>
      <c r="P415" s="2363"/>
      <c r="Q415" s="2363"/>
      <c r="R415" s="2363"/>
      <c r="S415" s="2363"/>
      <c r="T415" s="2363"/>
      <c r="U415" s="2363"/>
      <c r="V415" s="2363"/>
      <c r="W415" s="2363"/>
      <c r="X415" s="2363"/>
      <c r="Y415" s="2363"/>
      <c r="Z415" s="2363"/>
      <c r="AA415" s="2363"/>
      <c r="AB415" s="2363"/>
      <c r="AC415" s="2363"/>
      <c r="AD415" s="2363"/>
      <c r="AE415" s="2363"/>
      <c r="AF415" s="428"/>
      <c r="AG415" s="570"/>
      <c r="AH415" s="561"/>
      <c r="AI415" s="561"/>
      <c r="AJ415" s="561"/>
      <c r="AK415" s="561"/>
      <c r="AL415" s="575"/>
      <c r="AM415" s="416"/>
      <c r="AN415" s="439"/>
    </row>
    <row r="416" spans="1:81" ht="13">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388"/>
      <c r="AG416" s="385"/>
      <c r="AH416" s="398"/>
      <c r="AI416" s="398"/>
      <c r="AJ416" s="398"/>
      <c r="AK416" s="398"/>
      <c r="AL416" s="398"/>
      <c r="AM416" s="416"/>
    </row>
    <row r="417" spans="1:55" ht="12.75" customHeight="1">
      <c r="A417" s="385"/>
      <c r="C417" s="579"/>
      <c r="D417" s="580"/>
      <c r="E417" s="550" t="s">
        <v>2348</v>
      </c>
      <c r="F417" s="2361" t="s">
        <v>2349</v>
      </c>
      <c r="G417" s="2361"/>
      <c r="H417" s="2361"/>
      <c r="I417" s="2361"/>
      <c r="J417" s="2361"/>
      <c r="K417" s="2361"/>
      <c r="L417" s="2361"/>
      <c r="M417" s="2361"/>
      <c r="N417" s="2361"/>
      <c r="O417" s="2361"/>
      <c r="P417" s="2361"/>
      <c r="Q417" s="2361"/>
      <c r="R417" s="2361"/>
      <c r="S417" s="2361"/>
      <c r="T417" s="2361"/>
      <c r="U417" s="2361"/>
      <c r="V417" s="2361"/>
      <c r="W417" s="2361"/>
      <c r="X417" s="2361"/>
      <c r="Y417" s="2361"/>
      <c r="Z417" s="2361"/>
      <c r="AA417" s="2361"/>
      <c r="AB417" s="2361"/>
      <c r="AC417" s="2361"/>
      <c r="AD417" s="2361"/>
      <c r="AE417" s="2361"/>
      <c r="AF417" s="580"/>
      <c r="AG417" s="580"/>
      <c r="AH417" s="580"/>
      <c r="AI417" s="580"/>
      <c r="AJ417" s="580"/>
      <c r="AK417" s="580"/>
      <c r="AL417" s="581"/>
      <c r="AM417" s="416"/>
    </row>
    <row r="418" spans="1:55" ht="13">
      <c r="A418" s="385"/>
      <c r="C418" s="564"/>
      <c r="E418" s="527"/>
      <c r="F418" s="2362"/>
      <c r="G418" s="2362"/>
      <c r="H418" s="2362"/>
      <c r="I418" s="2362"/>
      <c r="J418" s="2362"/>
      <c r="K418" s="2362"/>
      <c r="L418" s="2362"/>
      <c r="M418" s="2362"/>
      <c r="N418" s="2362"/>
      <c r="O418" s="2362"/>
      <c r="P418" s="2362"/>
      <c r="Q418" s="2362"/>
      <c r="R418" s="2362"/>
      <c r="S418" s="2362"/>
      <c r="T418" s="2362"/>
      <c r="U418" s="2362"/>
      <c r="V418" s="2362"/>
      <c r="W418" s="2362"/>
      <c r="X418" s="2362"/>
      <c r="Y418" s="2362"/>
      <c r="Z418" s="2362"/>
      <c r="AA418" s="2362"/>
      <c r="AB418" s="2362"/>
      <c r="AC418" s="2362"/>
      <c r="AD418" s="2362"/>
      <c r="AE418" s="2362"/>
      <c r="AF418" s="388"/>
      <c r="AG418" s="385"/>
      <c r="AH418" s="398"/>
      <c r="AI418" s="398"/>
      <c r="AJ418" s="398"/>
      <c r="AK418" s="398"/>
      <c r="AL418" s="565"/>
      <c r="AM418" s="416"/>
    </row>
    <row r="419" spans="1:55" s="398" customFormat="1" ht="12.75" customHeight="1">
      <c r="A419" s="385"/>
      <c r="B419" s="11"/>
      <c r="C419" s="564"/>
      <c r="D419" s="11"/>
      <c r="E419" s="527"/>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c r="AA419" s="2362"/>
      <c r="AB419" s="2362"/>
      <c r="AC419" s="2362"/>
      <c r="AD419" s="2362"/>
      <c r="AE419" s="2362"/>
      <c r="AL419" s="565"/>
      <c r="AM419" s="416"/>
      <c r="AN419" s="439"/>
    </row>
    <row r="420" spans="1:55" s="398" customFormat="1" ht="12.75" customHeight="1">
      <c r="A420" s="385"/>
      <c r="B420" s="11"/>
      <c r="C420" s="572"/>
      <c r="F420" s="2362"/>
      <c r="G420" s="2362"/>
      <c r="H420" s="2362"/>
      <c r="I420" s="2362"/>
      <c r="J420" s="2362"/>
      <c r="K420" s="2362"/>
      <c r="L420" s="2362"/>
      <c r="M420" s="2362"/>
      <c r="N420" s="2362"/>
      <c r="O420" s="2362"/>
      <c r="P420" s="2362"/>
      <c r="Q420" s="2362"/>
      <c r="R420" s="2362"/>
      <c r="S420" s="2362"/>
      <c r="T420" s="2362"/>
      <c r="U420" s="2362"/>
      <c r="V420" s="2362"/>
      <c r="W420" s="2362"/>
      <c r="X420" s="2362"/>
      <c r="Y420" s="2362"/>
      <c r="Z420" s="2362"/>
      <c r="AA420" s="2362"/>
      <c r="AB420" s="2362"/>
      <c r="AC420" s="2362"/>
      <c r="AD420" s="2362"/>
      <c r="AE420" s="2362"/>
      <c r="AL420" s="565"/>
      <c r="AM420" s="416"/>
      <c r="AN420" s="439"/>
    </row>
    <row r="421" spans="1:55" s="398" customFormat="1" ht="12.75" customHeight="1">
      <c r="A421" s="385"/>
      <c r="B421" s="11"/>
      <c r="C421" s="2371" t="s">
        <v>847</v>
      </c>
      <c r="D421" s="2372"/>
      <c r="E421" s="527"/>
      <c r="F421" s="555" t="s">
        <v>2350</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2451" t="s">
        <v>2333</v>
      </c>
      <c r="AG421" s="2451"/>
      <c r="AH421" s="2451"/>
      <c r="AI421" s="2451"/>
      <c r="AJ421" s="2451"/>
      <c r="AK421" s="2451"/>
      <c r="AL421" s="2460"/>
      <c r="AM421" s="416"/>
      <c r="AN421" s="439"/>
    </row>
    <row r="422" spans="1:55" s="398" customFormat="1" ht="12.75" customHeight="1">
      <c r="A422" s="385"/>
      <c r="B422" s="11"/>
      <c r="C422" s="572"/>
      <c r="AL422" s="565"/>
      <c r="AM422" s="416"/>
      <c r="AN422" s="439"/>
    </row>
    <row r="423" spans="1:55" s="398" customFormat="1" ht="12.75" customHeight="1">
      <c r="A423" s="385"/>
      <c r="B423" s="11"/>
      <c r="C423" s="2371" t="s">
        <v>798</v>
      </c>
      <c r="D423" s="2372"/>
      <c r="E423" s="554"/>
      <c r="F423" s="555" t="s">
        <v>2351</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2451" t="s">
        <v>2345</v>
      </c>
      <c r="AG423" s="2451"/>
      <c r="AH423" s="2451"/>
      <c r="AI423" s="2451"/>
      <c r="AJ423" s="2451"/>
      <c r="AK423" s="2451"/>
      <c r="AL423" s="2460"/>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388"/>
      <c r="AG425" s="385"/>
      <c r="AM425" s="416"/>
      <c r="AN425" s="439"/>
    </row>
    <row r="426" spans="1:55" s="398" customFormat="1" ht="12.75" customHeight="1">
      <c r="A426" s="385"/>
      <c r="B426" s="11"/>
      <c r="C426" s="547" t="s">
        <v>2352</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388"/>
      <c r="AG426" s="385"/>
      <c r="AM426" s="416"/>
      <c r="AN426" s="439"/>
    </row>
    <row r="427" spans="1:55" s="398" customFormat="1" ht="12.75" customHeight="1">
      <c r="A427" s="385"/>
      <c r="B427" s="11"/>
      <c r="C427" s="548"/>
      <c r="D427" s="549"/>
      <c r="E427" s="550" t="s">
        <v>2353</v>
      </c>
      <c r="F427" s="2361" t="s">
        <v>2354</v>
      </c>
      <c r="G427" s="2361"/>
      <c r="H427" s="2361"/>
      <c r="I427" s="2361"/>
      <c r="J427" s="2361"/>
      <c r="K427" s="2361"/>
      <c r="L427" s="2361"/>
      <c r="M427" s="2361"/>
      <c r="N427" s="2361"/>
      <c r="O427" s="2361"/>
      <c r="P427" s="2361"/>
      <c r="Q427" s="2361"/>
      <c r="R427" s="2361"/>
      <c r="S427" s="2361"/>
      <c r="T427" s="2361"/>
      <c r="U427" s="2361"/>
      <c r="V427" s="2361"/>
      <c r="W427" s="2361"/>
      <c r="X427" s="2361"/>
      <c r="Y427" s="2361"/>
      <c r="Z427" s="2361"/>
      <c r="AA427" s="2361"/>
      <c r="AB427" s="2361"/>
      <c r="AC427" s="2361"/>
      <c r="AD427" s="2361"/>
      <c r="AE427" s="2361"/>
      <c r="AF427" s="549"/>
      <c r="AG427" s="549"/>
      <c r="AH427" s="549"/>
      <c r="AI427" s="549"/>
      <c r="AJ427" s="549"/>
      <c r="AK427" s="549"/>
      <c r="AL427" s="578"/>
      <c r="AM427" s="416"/>
      <c r="AN427" s="439"/>
    </row>
    <row r="428" spans="1:55" s="398" customFormat="1" ht="12.75" customHeight="1">
      <c r="A428" s="385"/>
      <c r="B428" s="11"/>
      <c r="C428" s="564"/>
      <c r="D428" s="11"/>
      <c r="E428" s="527"/>
      <c r="F428" s="2362"/>
      <c r="G428" s="2362"/>
      <c r="H428" s="2362"/>
      <c r="I428" s="2362"/>
      <c r="J428" s="2362"/>
      <c r="K428" s="2362"/>
      <c r="L428" s="2362"/>
      <c r="M428" s="2362"/>
      <c r="N428" s="2362"/>
      <c r="O428" s="2362"/>
      <c r="P428" s="2362"/>
      <c r="Q428" s="2362"/>
      <c r="R428" s="2362"/>
      <c r="S428" s="2362"/>
      <c r="T428" s="2362"/>
      <c r="U428" s="2362"/>
      <c r="V428" s="2362"/>
      <c r="W428" s="2362"/>
      <c r="X428" s="2362"/>
      <c r="Y428" s="2362"/>
      <c r="Z428" s="2362"/>
      <c r="AA428" s="2362"/>
      <c r="AB428" s="2362"/>
      <c r="AC428" s="2362"/>
      <c r="AD428" s="2362"/>
      <c r="AE428" s="2362"/>
      <c r="AF428" s="388"/>
      <c r="AG428" s="385"/>
      <c r="AL428" s="565"/>
      <c r="AM428" s="416"/>
      <c r="AN428" s="439"/>
    </row>
    <row r="429" spans="1:55" s="398" customFormat="1" ht="12.65" customHeight="1">
      <c r="A429" s="385"/>
      <c r="B429" s="11"/>
      <c r="C429" s="564"/>
      <c r="D429" s="11"/>
      <c r="E429" s="527"/>
      <c r="F429" s="2362"/>
      <c r="G429" s="2362"/>
      <c r="H429" s="2362"/>
      <c r="I429" s="2362"/>
      <c r="J429" s="2362"/>
      <c r="K429" s="2362"/>
      <c r="L429" s="2362"/>
      <c r="M429" s="2362"/>
      <c r="N429" s="2362"/>
      <c r="O429" s="2362"/>
      <c r="P429" s="2362"/>
      <c r="Q429" s="2362"/>
      <c r="R429" s="2362"/>
      <c r="S429" s="2362"/>
      <c r="T429" s="2362"/>
      <c r="U429" s="2362"/>
      <c r="V429" s="2362"/>
      <c r="W429" s="2362"/>
      <c r="X429" s="2362"/>
      <c r="Y429" s="2362"/>
      <c r="Z429" s="2362"/>
      <c r="AA429" s="2362"/>
      <c r="AB429" s="2362"/>
      <c r="AC429" s="2362"/>
      <c r="AD429" s="2362"/>
      <c r="AE429" s="2362"/>
      <c r="AL429" s="565"/>
      <c r="AM429" s="416"/>
      <c r="AN429" s="439"/>
    </row>
    <row r="430" spans="1:55" s="398" customFormat="1" ht="12.75" customHeight="1">
      <c r="A430" s="385"/>
      <c r="B430" s="11"/>
      <c r="C430" s="2371" t="s">
        <v>798</v>
      </c>
      <c r="D430" s="2372"/>
      <c r="E430" s="527"/>
      <c r="F430" s="555" t="s">
        <v>2355</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2451" t="s">
        <v>2333</v>
      </c>
      <c r="AG430" s="2451"/>
      <c r="AH430" s="2451"/>
      <c r="AI430" s="2451"/>
      <c r="AJ430" s="2451"/>
      <c r="AK430" s="2451"/>
      <c r="AL430" s="2460"/>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219"/>
      <c r="D432" s="1219"/>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4" customHeight="1">
      <c r="A433" s="385"/>
      <c r="C433" s="579"/>
      <c r="D433" s="580"/>
      <c r="E433" s="550" t="s">
        <v>2356</v>
      </c>
      <c r="F433" s="2361" t="s">
        <v>2357</v>
      </c>
      <c r="G433" s="2361"/>
      <c r="H433" s="2361"/>
      <c r="I433" s="2361"/>
      <c r="J433" s="2361"/>
      <c r="K433" s="2361"/>
      <c r="L433" s="2361"/>
      <c r="M433" s="2361"/>
      <c r="N433" s="2361"/>
      <c r="O433" s="2361"/>
      <c r="P433" s="2361"/>
      <c r="Q433" s="2361"/>
      <c r="R433" s="2361"/>
      <c r="S433" s="2361"/>
      <c r="T433" s="2361"/>
      <c r="U433" s="2361"/>
      <c r="V433" s="2361"/>
      <c r="W433" s="2361"/>
      <c r="X433" s="2361"/>
      <c r="Y433" s="2361"/>
      <c r="Z433" s="2361"/>
      <c r="AA433" s="2361"/>
      <c r="AB433" s="2361"/>
      <c r="AC433" s="2361"/>
      <c r="AD433" s="2361"/>
      <c r="AE433" s="2361"/>
      <c r="AF433" s="580"/>
      <c r="AG433" s="580"/>
      <c r="AH433" s="580"/>
      <c r="AI433" s="580"/>
      <c r="AJ433" s="580"/>
      <c r="AK433" s="580"/>
      <c r="AL433" s="581"/>
      <c r="AM433" s="416"/>
      <c r="AO433" s="398"/>
      <c r="AP433" s="398"/>
      <c r="BD433" s="11"/>
      <c r="BE433" s="11"/>
      <c r="BF433" s="11"/>
      <c r="BG433" s="11"/>
      <c r="BH433" s="11"/>
    </row>
    <row r="434" spans="1:60" ht="13">
      <c r="A434" s="385"/>
      <c r="C434" s="564"/>
      <c r="E434" s="527"/>
      <c r="F434" s="2362"/>
      <c r="G434" s="2362"/>
      <c r="H434" s="2362"/>
      <c r="I434" s="2362"/>
      <c r="J434" s="2362"/>
      <c r="K434" s="2362"/>
      <c r="L434" s="2362"/>
      <c r="M434" s="2362"/>
      <c r="N434" s="2362"/>
      <c r="O434" s="2362"/>
      <c r="P434" s="2362"/>
      <c r="Q434" s="2362"/>
      <c r="R434" s="2362"/>
      <c r="S434" s="2362"/>
      <c r="T434" s="2362"/>
      <c r="U434" s="2362"/>
      <c r="V434" s="2362"/>
      <c r="W434" s="2362"/>
      <c r="X434" s="2362"/>
      <c r="Y434" s="2362"/>
      <c r="Z434" s="2362"/>
      <c r="AA434" s="2362"/>
      <c r="AB434" s="2362"/>
      <c r="AC434" s="2362"/>
      <c r="AD434" s="2362"/>
      <c r="AE434" s="2362"/>
      <c r="AF434" s="1193"/>
      <c r="AG434" s="1193"/>
      <c r="AH434" s="1193"/>
      <c r="AI434" s="1193"/>
      <c r="AJ434" s="1193"/>
      <c r="AK434" s="1193"/>
      <c r="AL434" s="1208"/>
      <c r="AM434" s="416"/>
      <c r="AO434" s="398"/>
      <c r="AP434" s="398"/>
    </row>
    <row r="435" spans="1:60" s="398" customFormat="1" ht="12.75" customHeight="1">
      <c r="A435" s="385"/>
      <c r="B435" s="11"/>
      <c r="C435" s="564"/>
      <c r="D435" s="11"/>
      <c r="E435" s="527"/>
      <c r="F435" s="2362"/>
      <c r="G435" s="2362"/>
      <c r="H435" s="2362"/>
      <c r="I435" s="2362"/>
      <c r="J435" s="2362"/>
      <c r="K435" s="2362"/>
      <c r="L435" s="2362"/>
      <c r="M435" s="2362"/>
      <c r="N435" s="2362"/>
      <c r="O435" s="2362"/>
      <c r="P435" s="2362"/>
      <c r="Q435" s="2362"/>
      <c r="R435" s="2362"/>
      <c r="S435" s="2362"/>
      <c r="T435" s="2362"/>
      <c r="U435" s="2362"/>
      <c r="V435" s="2362"/>
      <c r="W435" s="2362"/>
      <c r="X435" s="2362"/>
      <c r="Y435" s="2362"/>
      <c r="Z435" s="2362"/>
      <c r="AA435" s="2362"/>
      <c r="AB435" s="2362"/>
      <c r="AC435" s="2362"/>
      <c r="AD435" s="2362"/>
      <c r="AE435" s="2362"/>
      <c r="AF435" s="1193"/>
      <c r="AG435" s="1193"/>
      <c r="AH435" s="1193"/>
      <c r="AI435" s="1193"/>
      <c r="AJ435" s="1193"/>
      <c r="AK435" s="1193"/>
      <c r="AL435" s="1208"/>
      <c r="AM435" s="416"/>
      <c r="AN435" s="439"/>
    </row>
    <row r="436" spans="1:60" s="398" customFormat="1" ht="12.75" customHeight="1">
      <c r="A436" s="385"/>
      <c r="B436" s="11"/>
      <c r="C436" s="1218"/>
      <c r="D436" s="1219"/>
      <c r="E436" s="554"/>
      <c r="F436" s="2362"/>
      <c r="G436" s="2362"/>
      <c r="H436" s="2362"/>
      <c r="I436" s="2362"/>
      <c r="J436" s="2362"/>
      <c r="K436" s="2362"/>
      <c r="L436" s="2362"/>
      <c r="M436" s="2362"/>
      <c r="N436" s="2362"/>
      <c r="O436" s="2362"/>
      <c r="P436" s="2362"/>
      <c r="Q436" s="2362"/>
      <c r="R436" s="2362"/>
      <c r="S436" s="2362"/>
      <c r="T436" s="2362"/>
      <c r="U436" s="2362"/>
      <c r="V436" s="2362"/>
      <c r="W436" s="2362"/>
      <c r="X436" s="2362"/>
      <c r="Y436" s="2362"/>
      <c r="Z436" s="2362"/>
      <c r="AA436" s="2362"/>
      <c r="AB436" s="2362"/>
      <c r="AC436" s="2362"/>
      <c r="AD436" s="2362"/>
      <c r="AE436" s="2362"/>
      <c r="AF436" s="1193"/>
      <c r="AG436" s="1193"/>
      <c r="AH436" s="1193"/>
      <c r="AI436" s="1193"/>
      <c r="AJ436" s="1193"/>
      <c r="AK436" s="1193"/>
      <c r="AL436" s="1208"/>
      <c r="AM436" s="416"/>
      <c r="AN436" s="439"/>
      <c r="AO436" s="23"/>
      <c r="AP436" s="11"/>
    </row>
    <row r="437" spans="1:60" s="398" customFormat="1" ht="12.75" customHeight="1">
      <c r="A437" s="385"/>
      <c r="B437" s="11"/>
      <c r="C437" s="1218"/>
      <c r="D437" s="1219"/>
      <c r="E437" s="554"/>
      <c r="F437" s="2362"/>
      <c r="G437" s="2362"/>
      <c r="H437" s="2362"/>
      <c r="I437" s="2362"/>
      <c r="J437" s="2362"/>
      <c r="K437" s="2362"/>
      <c r="L437" s="2362"/>
      <c r="M437" s="2362"/>
      <c r="N437" s="2362"/>
      <c r="O437" s="2362"/>
      <c r="P437" s="2362"/>
      <c r="Q437" s="2362"/>
      <c r="R437" s="2362"/>
      <c r="S437" s="2362"/>
      <c r="T437" s="2362"/>
      <c r="U437" s="2362"/>
      <c r="V437" s="2362"/>
      <c r="W437" s="2362"/>
      <c r="X437" s="2362"/>
      <c r="Y437" s="2362"/>
      <c r="Z437" s="2362"/>
      <c r="AA437" s="2362"/>
      <c r="AB437" s="2362"/>
      <c r="AC437" s="2362"/>
      <c r="AD437" s="2362"/>
      <c r="AE437" s="2362"/>
      <c r="AF437" s="1193"/>
      <c r="AG437" s="1193"/>
      <c r="AH437" s="1193"/>
      <c r="AI437" s="1193"/>
      <c r="AJ437" s="1193"/>
      <c r="AK437" s="1193"/>
      <c r="AL437" s="1208"/>
      <c r="AM437" s="416"/>
      <c r="AN437" s="439"/>
    </row>
    <row r="438" spans="1:60" s="398" customFormat="1" ht="12.75" customHeight="1">
      <c r="A438" s="385"/>
      <c r="B438" s="11"/>
      <c r="C438" s="1218"/>
      <c r="D438" s="1219"/>
      <c r="E438" s="554"/>
      <c r="F438" s="2362"/>
      <c r="G438" s="2362"/>
      <c r="H438" s="2362"/>
      <c r="I438" s="2362"/>
      <c r="J438" s="2362"/>
      <c r="K438" s="2362"/>
      <c r="L438" s="2362"/>
      <c r="M438" s="2362"/>
      <c r="N438" s="2362"/>
      <c r="O438" s="2362"/>
      <c r="P438" s="2362"/>
      <c r="Q438" s="2362"/>
      <c r="R438" s="2362"/>
      <c r="S438" s="2362"/>
      <c r="T438" s="2362"/>
      <c r="U438" s="2362"/>
      <c r="V438" s="2362"/>
      <c r="W438" s="2362"/>
      <c r="X438" s="2362"/>
      <c r="Y438" s="2362"/>
      <c r="Z438" s="2362"/>
      <c r="AA438" s="2362"/>
      <c r="AB438" s="2362"/>
      <c r="AC438" s="2362"/>
      <c r="AD438" s="2362"/>
      <c r="AE438" s="2362"/>
      <c r="AF438" s="1193"/>
      <c r="AG438" s="1193"/>
      <c r="AH438" s="1193"/>
      <c r="AI438" s="1193"/>
      <c r="AJ438" s="1193"/>
      <c r="AK438" s="1193"/>
      <c r="AL438" s="1208"/>
      <c r="AM438" s="416"/>
      <c r="AN438" s="439"/>
    </row>
    <row r="439" spans="1:60" s="398" customFormat="1" ht="12.75" customHeight="1">
      <c r="A439" s="385"/>
      <c r="B439" s="11"/>
      <c r="C439" s="1218"/>
      <c r="D439" s="1219"/>
      <c r="E439" s="554"/>
      <c r="F439" s="2362"/>
      <c r="G439" s="2362"/>
      <c r="H439" s="2362"/>
      <c r="I439" s="2362"/>
      <c r="J439" s="2362"/>
      <c r="K439" s="2362"/>
      <c r="L439" s="2362"/>
      <c r="M439" s="2362"/>
      <c r="N439" s="2362"/>
      <c r="O439" s="2362"/>
      <c r="P439" s="2362"/>
      <c r="Q439" s="2362"/>
      <c r="R439" s="2362"/>
      <c r="S439" s="2362"/>
      <c r="T439" s="2362"/>
      <c r="U439" s="2362"/>
      <c r="V439" s="2362"/>
      <c r="W439" s="2362"/>
      <c r="X439" s="2362"/>
      <c r="Y439" s="2362"/>
      <c r="Z439" s="2362"/>
      <c r="AA439" s="2362"/>
      <c r="AB439" s="2362"/>
      <c r="AC439" s="2362"/>
      <c r="AD439" s="2362"/>
      <c r="AE439" s="2362"/>
      <c r="AF439" s="1193"/>
      <c r="AG439" s="1193"/>
      <c r="AH439" s="1193"/>
      <c r="AI439" s="1193"/>
      <c r="AJ439" s="1193"/>
      <c r="AK439" s="1193"/>
      <c r="AL439" s="1208"/>
      <c r="AM439" s="416"/>
      <c r="AN439" s="439"/>
    </row>
    <row r="440" spans="1:60" s="398" customFormat="1" ht="12.75" customHeight="1">
      <c r="A440" s="385"/>
      <c r="B440" s="11"/>
      <c r="C440" s="1218"/>
      <c r="D440" s="1219"/>
      <c r="E440" s="554"/>
      <c r="F440" s="2362"/>
      <c r="G440" s="2362"/>
      <c r="H440" s="2362"/>
      <c r="I440" s="2362"/>
      <c r="J440" s="2362"/>
      <c r="K440" s="2362"/>
      <c r="L440" s="2362"/>
      <c r="M440" s="2362"/>
      <c r="N440" s="2362"/>
      <c r="O440" s="2362"/>
      <c r="P440" s="2362"/>
      <c r="Q440" s="2362"/>
      <c r="R440" s="2362"/>
      <c r="S440" s="2362"/>
      <c r="T440" s="2362"/>
      <c r="U440" s="2362"/>
      <c r="V440" s="2362"/>
      <c r="W440" s="2362"/>
      <c r="X440" s="2362"/>
      <c r="Y440" s="2362"/>
      <c r="Z440" s="2362"/>
      <c r="AA440" s="2362"/>
      <c r="AB440" s="2362"/>
      <c r="AC440" s="2362"/>
      <c r="AD440" s="2362"/>
      <c r="AE440" s="2362"/>
      <c r="AF440" s="1193"/>
      <c r="AG440" s="1193"/>
      <c r="AH440" s="1193"/>
      <c r="AI440" s="1193"/>
      <c r="AJ440" s="1193"/>
      <c r="AK440" s="1193"/>
      <c r="AL440" s="1208"/>
      <c r="AM440" s="416"/>
      <c r="AN440" s="439"/>
    </row>
    <row r="441" spans="1:60" s="398" customFormat="1" ht="17.25" customHeight="1">
      <c r="A441" s="385"/>
      <c r="B441" s="11"/>
      <c r="C441" s="1218"/>
      <c r="D441" s="1219"/>
      <c r="E441" s="554"/>
      <c r="F441" s="2362"/>
      <c r="G441" s="2362"/>
      <c r="H441" s="2362"/>
      <c r="I441" s="2362"/>
      <c r="J441" s="2362"/>
      <c r="K441" s="2362"/>
      <c r="L441" s="2362"/>
      <c r="M441" s="2362"/>
      <c r="N441" s="2362"/>
      <c r="O441" s="2362"/>
      <c r="P441" s="2362"/>
      <c r="Q441" s="2362"/>
      <c r="R441" s="2362"/>
      <c r="S441" s="2362"/>
      <c r="T441" s="2362"/>
      <c r="U441" s="2362"/>
      <c r="V441" s="2362"/>
      <c r="W441" s="2362"/>
      <c r="X441" s="2362"/>
      <c r="Y441" s="2362"/>
      <c r="Z441" s="2362"/>
      <c r="AA441" s="2362"/>
      <c r="AB441" s="2362"/>
      <c r="AC441" s="2362"/>
      <c r="AD441" s="2362"/>
      <c r="AE441" s="2362"/>
      <c r="AL441" s="565"/>
      <c r="AM441" s="416"/>
      <c r="AN441" s="439"/>
    </row>
    <row r="442" spans="1:60" s="398" customFormat="1" ht="12.75" customHeight="1">
      <c r="A442" s="385"/>
      <c r="B442" s="11"/>
      <c r="C442" s="2371" t="s">
        <v>798</v>
      </c>
      <c r="D442" s="2372"/>
      <c r="E442" s="554"/>
      <c r="F442" s="438" t="s">
        <v>2358</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2451" t="s">
        <v>2333</v>
      </c>
      <c r="AG442" s="2451"/>
      <c r="AH442" s="2451"/>
      <c r="AI442" s="2451"/>
      <c r="AJ442" s="2451"/>
      <c r="AK442" s="2451"/>
      <c r="AL442" s="2460"/>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219"/>
      <c r="D444" s="1219"/>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204"/>
      <c r="AF444" s="1204"/>
      <c r="AG444" s="1204"/>
      <c r="AH444" s="1204"/>
      <c r="AI444" s="1204"/>
      <c r="AJ444" s="1204"/>
      <c r="AK444" s="1204"/>
      <c r="AL444" s="1204"/>
      <c r="AM444" s="416"/>
      <c r="AN444" s="439"/>
    </row>
    <row r="445" spans="1:60" s="398" customFormat="1" ht="12.75" customHeight="1">
      <c r="A445" s="385"/>
      <c r="B445" s="11"/>
      <c r="C445" s="548"/>
      <c r="D445" s="549"/>
      <c r="E445" s="550" t="s">
        <v>2359</v>
      </c>
      <c r="F445" s="2361" t="s">
        <v>2360</v>
      </c>
      <c r="G445" s="2361"/>
      <c r="H445" s="2361"/>
      <c r="I445" s="2361"/>
      <c r="J445" s="2361"/>
      <c r="K445" s="2361"/>
      <c r="L445" s="2361"/>
      <c r="M445" s="2361"/>
      <c r="N445" s="2361"/>
      <c r="O445" s="2361"/>
      <c r="P445" s="2361"/>
      <c r="Q445" s="2361"/>
      <c r="R445" s="2361"/>
      <c r="S445" s="2361"/>
      <c r="T445" s="2361"/>
      <c r="U445" s="2361"/>
      <c r="V445" s="2361"/>
      <c r="W445" s="2361"/>
      <c r="X445" s="2361"/>
      <c r="Y445" s="2361"/>
      <c r="Z445" s="2361"/>
      <c r="AA445" s="2361"/>
      <c r="AB445" s="2361"/>
      <c r="AC445" s="2361"/>
      <c r="AD445" s="2361"/>
      <c r="AE445" s="2361"/>
      <c r="AF445" s="549"/>
      <c r="AG445" s="549"/>
      <c r="AH445" s="549"/>
      <c r="AI445" s="549"/>
      <c r="AJ445" s="549"/>
      <c r="AK445" s="549"/>
      <c r="AL445" s="578"/>
      <c r="AM445" s="416"/>
      <c r="AN445" s="439"/>
    </row>
    <row r="446" spans="1:60" s="398" customFormat="1" ht="12.75" customHeight="1">
      <c r="A446" s="385"/>
      <c r="B446" s="11"/>
      <c r="C446" s="1218"/>
      <c r="D446" s="1219"/>
      <c r="E446" s="554"/>
      <c r="F446" s="2362"/>
      <c r="G446" s="2362"/>
      <c r="H446" s="2362"/>
      <c r="I446" s="2362"/>
      <c r="J446" s="2362"/>
      <c r="K446" s="2362"/>
      <c r="L446" s="2362"/>
      <c r="M446" s="2362"/>
      <c r="N446" s="2362"/>
      <c r="O446" s="2362"/>
      <c r="P446" s="2362"/>
      <c r="Q446" s="2362"/>
      <c r="R446" s="2362"/>
      <c r="S446" s="2362"/>
      <c r="T446" s="2362"/>
      <c r="U446" s="2362"/>
      <c r="V446" s="2362"/>
      <c r="W446" s="2362"/>
      <c r="X446" s="2362"/>
      <c r="Y446" s="2362"/>
      <c r="Z446" s="2362"/>
      <c r="AA446" s="2362"/>
      <c r="AB446" s="2362"/>
      <c r="AC446" s="2362"/>
      <c r="AD446" s="2362"/>
      <c r="AE446" s="2362"/>
      <c r="AF446" s="1204"/>
      <c r="AG446" s="1204"/>
      <c r="AH446" s="1204"/>
      <c r="AI446" s="1204"/>
      <c r="AJ446" s="1204"/>
      <c r="AK446" s="1204"/>
      <c r="AL446" s="1205"/>
      <c r="AM446" s="416"/>
      <c r="AN446" s="439"/>
    </row>
    <row r="447" spans="1:60" s="398" customFormat="1" ht="12.75" customHeight="1">
      <c r="A447" s="385"/>
      <c r="B447" s="11"/>
      <c r="C447" s="1218"/>
      <c r="D447" s="1219"/>
      <c r="E447" s="554"/>
      <c r="F447" s="2362"/>
      <c r="G447" s="2362"/>
      <c r="H447" s="2362"/>
      <c r="I447" s="2362"/>
      <c r="J447" s="2362"/>
      <c r="K447" s="2362"/>
      <c r="L447" s="2362"/>
      <c r="M447" s="2362"/>
      <c r="N447" s="2362"/>
      <c r="O447" s="2362"/>
      <c r="P447" s="2362"/>
      <c r="Q447" s="2362"/>
      <c r="R447" s="2362"/>
      <c r="S447" s="2362"/>
      <c r="T447" s="2362"/>
      <c r="U447" s="2362"/>
      <c r="V447" s="2362"/>
      <c r="W447" s="2362"/>
      <c r="X447" s="2362"/>
      <c r="Y447" s="2362"/>
      <c r="Z447" s="2362"/>
      <c r="AA447" s="2362"/>
      <c r="AB447" s="2362"/>
      <c r="AC447" s="2362"/>
      <c r="AD447" s="2362"/>
      <c r="AE447" s="2362"/>
      <c r="AF447" s="1204"/>
      <c r="AG447" s="1204"/>
      <c r="AH447" s="1204"/>
      <c r="AI447" s="1204"/>
      <c r="AJ447" s="1204"/>
      <c r="AK447" s="1204"/>
      <c r="AL447" s="1205"/>
      <c r="AM447" s="416"/>
      <c r="AN447" s="439"/>
    </row>
    <row r="448" spans="1:60" s="398" customFormat="1" ht="12.75" customHeight="1">
      <c r="A448" s="385"/>
      <c r="B448" s="11"/>
      <c r="C448" s="1218"/>
      <c r="D448" s="1219"/>
      <c r="E448" s="554"/>
      <c r="F448" s="2362"/>
      <c r="G448" s="2362"/>
      <c r="H448" s="2362"/>
      <c r="I448" s="2362"/>
      <c r="J448" s="2362"/>
      <c r="K448" s="2362"/>
      <c r="L448" s="2362"/>
      <c r="M448" s="2362"/>
      <c r="N448" s="2362"/>
      <c r="O448" s="2362"/>
      <c r="P448" s="2362"/>
      <c r="Q448" s="2362"/>
      <c r="R448" s="2362"/>
      <c r="S448" s="2362"/>
      <c r="T448" s="2362"/>
      <c r="U448" s="2362"/>
      <c r="V448" s="2362"/>
      <c r="W448" s="2362"/>
      <c r="X448" s="2362"/>
      <c r="Y448" s="2362"/>
      <c r="Z448" s="2362"/>
      <c r="AA448" s="2362"/>
      <c r="AB448" s="2362"/>
      <c r="AC448" s="2362"/>
      <c r="AD448" s="2362"/>
      <c r="AE448" s="2362"/>
      <c r="AL448" s="565"/>
      <c r="AM448" s="416"/>
      <c r="AN448" s="439"/>
    </row>
    <row r="449" spans="1:40" s="398" customFormat="1" ht="12.75" customHeight="1">
      <c r="A449" s="385"/>
      <c r="B449" s="11"/>
      <c r="C449" s="2371" t="s">
        <v>798</v>
      </c>
      <c r="D449" s="2372"/>
      <c r="E449" s="554"/>
      <c r="F449" s="555" t="s">
        <v>2361</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2451" t="s">
        <v>2333</v>
      </c>
      <c r="AG449" s="2451"/>
      <c r="AH449" s="2451"/>
      <c r="AI449" s="2451"/>
      <c r="AJ449" s="2451"/>
      <c r="AK449" s="2451"/>
      <c r="AL449" s="2460"/>
      <c r="AM449" s="416"/>
      <c r="AN449" s="584"/>
    </row>
    <row r="450" spans="1:40" s="398" customFormat="1" ht="12.75" customHeight="1">
      <c r="A450" s="385"/>
      <c r="B450" s="11"/>
      <c r="C450" s="1218"/>
      <c r="D450" s="1219"/>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204"/>
      <c r="AL450" s="565"/>
      <c r="AM450" s="416"/>
      <c r="AN450" s="584"/>
    </row>
    <row r="451" spans="1:40" s="398" customFormat="1" ht="12.75" customHeight="1">
      <c r="A451" s="385"/>
      <c r="B451" s="11"/>
      <c r="C451" s="573"/>
      <c r="D451" s="566"/>
      <c r="E451" s="567"/>
      <c r="F451" s="561" t="s">
        <v>2340</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219"/>
      <c r="D452" s="1219"/>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204"/>
      <c r="AM452" s="416"/>
      <c r="AN452" s="584"/>
    </row>
    <row r="453" spans="1:40" s="398" customFormat="1" ht="12.75" customHeight="1">
      <c r="A453" s="385"/>
      <c r="B453" s="11"/>
      <c r="C453" s="2487" t="s">
        <v>798</v>
      </c>
      <c r="D453" s="2488"/>
      <c r="E453" s="550" t="s">
        <v>2362</v>
      </c>
      <c r="F453" s="2361" t="s">
        <v>2363</v>
      </c>
      <c r="G453" s="2361"/>
      <c r="H453" s="2361"/>
      <c r="I453" s="2361"/>
      <c r="J453" s="2361"/>
      <c r="K453" s="2361"/>
      <c r="L453" s="2361"/>
      <c r="M453" s="2361"/>
      <c r="N453" s="2361"/>
      <c r="O453" s="2361"/>
      <c r="P453" s="2361"/>
      <c r="Q453" s="2361"/>
      <c r="R453" s="2361"/>
      <c r="S453" s="2361"/>
      <c r="T453" s="2361"/>
      <c r="U453" s="2361"/>
      <c r="V453" s="2361"/>
      <c r="W453" s="2361"/>
      <c r="X453" s="2361"/>
      <c r="Y453" s="2361"/>
      <c r="Z453" s="2361"/>
      <c r="AA453" s="2361"/>
      <c r="AB453" s="2361"/>
      <c r="AC453" s="2361"/>
      <c r="AD453" s="2361"/>
      <c r="AE453" s="2361"/>
      <c r="AF453" s="2389" t="s">
        <v>2333</v>
      </c>
      <c r="AG453" s="2389"/>
      <c r="AH453" s="2389"/>
      <c r="AI453" s="2389"/>
      <c r="AJ453" s="2389"/>
      <c r="AK453" s="2389"/>
      <c r="AL453" s="2390"/>
      <c r="AM453" s="416"/>
      <c r="AN453" s="584"/>
    </row>
    <row r="454" spans="1:40" s="398" customFormat="1" ht="12.75" customHeight="1">
      <c r="A454" s="385"/>
      <c r="B454" s="11"/>
      <c r="C454" s="1218"/>
      <c r="D454" s="1219"/>
      <c r="E454" s="554"/>
      <c r="F454" s="2362"/>
      <c r="G454" s="2362"/>
      <c r="H454" s="2362"/>
      <c r="I454" s="2362"/>
      <c r="J454" s="2362"/>
      <c r="K454" s="2362"/>
      <c r="L454" s="2362"/>
      <c r="M454" s="2362"/>
      <c r="N454" s="2362"/>
      <c r="O454" s="2362"/>
      <c r="P454" s="2362"/>
      <c r="Q454" s="2362"/>
      <c r="R454" s="2362"/>
      <c r="S454" s="2362"/>
      <c r="T454" s="2362"/>
      <c r="U454" s="2362"/>
      <c r="V454" s="2362"/>
      <c r="W454" s="2362"/>
      <c r="X454" s="2362"/>
      <c r="Y454" s="2362"/>
      <c r="Z454" s="2362"/>
      <c r="AA454" s="2362"/>
      <c r="AB454" s="2362"/>
      <c r="AC454" s="2362"/>
      <c r="AD454" s="2362"/>
      <c r="AE454" s="2362"/>
      <c r="AF454" s="1204"/>
      <c r="AG454" s="1204"/>
      <c r="AH454" s="1204"/>
      <c r="AI454" s="1204"/>
      <c r="AJ454" s="1204"/>
      <c r="AK454" s="1204"/>
      <c r="AL454" s="1205"/>
      <c r="AM454" s="416"/>
      <c r="AN454" s="585"/>
    </row>
    <row r="455" spans="1:40" s="398" customFormat="1" ht="17.899999999999999" customHeight="1">
      <c r="A455" s="385"/>
      <c r="B455" s="11"/>
      <c r="C455" s="587"/>
      <c r="D455" s="557"/>
      <c r="E455" s="558"/>
      <c r="F455" s="2363"/>
      <c r="G455" s="2363"/>
      <c r="H455" s="2363"/>
      <c r="I455" s="2363"/>
      <c r="J455" s="2363"/>
      <c r="K455" s="2363"/>
      <c r="L455" s="2363"/>
      <c r="M455" s="2363"/>
      <c r="N455" s="2363"/>
      <c r="O455" s="2363"/>
      <c r="P455" s="2363"/>
      <c r="Q455" s="2363"/>
      <c r="R455" s="2363"/>
      <c r="S455" s="2363"/>
      <c r="T455" s="2363"/>
      <c r="U455" s="2363"/>
      <c r="V455" s="2363"/>
      <c r="W455" s="2363"/>
      <c r="X455" s="2363"/>
      <c r="Y455" s="2363"/>
      <c r="Z455" s="2363"/>
      <c r="AA455" s="2363"/>
      <c r="AB455" s="2363"/>
      <c r="AC455" s="2363"/>
      <c r="AD455" s="2363"/>
      <c r="AE455" s="2363"/>
      <c r="AF455" s="562"/>
      <c r="AG455" s="562"/>
      <c r="AH455" s="562"/>
      <c r="AI455" s="562"/>
      <c r="AJ455" s="562"/>
      <c r="AK455" s="562"/>
      <c r="AL455" s="588"/>
      <c r="AM455" s="416"/>
      <c r="AN455" s="384"/>
    </row>
    <row r="456" spans="1:40" s="398" customFormat="1" ht="12.75" customHeight="1">
      <c r="A456" s="385"/>
      <c r="B456" s="11"/>
      <c r="C456" s="1219"/>
      <c r="D456" s="1219"/>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204"/>
      <c r="AM456" s="416"/>
      <c r="AN456" s="384"/>
    </row>
    <row r="457" spans="1:40" s="398" customFormat="1" ht="12.75" customHeight="1">
      <c r="A457" s="385"/>
      <c r="B457" s="11"/>
      <c r="C457" s="2371" t="s">
        <v>798</v>
      </c>
      <c r="D457" s="2372"/>
      <c r="E457" s="550" t="s">
        <v>2364</v>
      </c>
      <c r="F457" s="2361" t="s">
        <v>2365</v>
      </c>
      <c r="G457" s="2361"/>
      <c r="H457" s="2361"/>
      <c r="I457" s="2361"/>
      <c r="J457" s="2361"/>
      <c r="K457" s="2361"/>
      <c r="L457" s="2361"/>
      <c r="M457" s="2361"/>
      <c r="N457" s="2361"/>
      <c r="O457" s="2361"/>
      <c r="P457" s="2361"/>
      <c r="Q457" s="2361"/>
      <c r="R457" s="2361"/>
      <c r="S457" s="2361"/>
      <c r="T457" s="2361"/>
      <c r="U457" s="2361"/>
      <c r="V457" s="2361"/>
      <c r="W457" s="2361"/>
      <c r="X457" s="2361"/>
      <c r="Y457" s="2361"/>
      <c r="Z457" s="2361"/>
      <c r="AA457" s="2361"/>
      <c r="AB457" s="2361"/>
      <c r="AC457" s="2361"/>
      <c r="AD457" s="2361"/>
      <c r="AE457" s="2361"/>
      <c r="AF457" s="2389" t="s">
        <v>2333</v>
      </c>
      <c r="AG457" s="2389"/>
      <c r="AH457" s="2389"/>
      <c r="AI457" s="2389"/>
      <c r="AJ457" s="2389"/>
      <c r="AK457" s="2389"/>
      <c r="AL457" s="2390"/>
      <c r="AM457" s="416"/>
      <c r="AN457" s="384"/>
    </row>
    <row r="458" spans="1:40" s="398" customFormat="1" ht="12.75" customHeight="1">
      <c r="A458" s="385"/>
      <c r="B458" s="11"/>
      <c r="C458" s="564"/>
      <c r="D458" s="11"/>
      <c r="E458" s="527"/>
      <c r="F458" s="2362"/>
      <c r="G458" s="2362"/>
      <c r="H458" s="2362"/>
      <c r="I458" s="2362"/>
      <c r="J458" s="2362"/>
      <c r="K458" s="2362"/>
      <c r="L458" s="2362"/>
      <c r="M458" s="2362"/>
      <c r="N458" s="2362"/>
      <c r="O458" s="2362"/>
      <c r="P458" s="2362"/>
      <c r="Q458" s="2362"/>
      <c r="R458" s="2362"/>
      <c r="S458" s="2362"/>
      <c r="T458" s="2362"/>
      <c r="U458" s="2362"/>
      <c r="V458" s="2362"/>
      <c r="W458" s="2362"/>
      <c r="X458" s="2362"/>
      <c r="Y458" s="2362"/>
      <c r="Z458" s="2362"/>
      <c r="AA458" s="2362"/>
      <c r="AB458" s="2362"/>
      <c r="AC458" s="2362"/>
      <c r="AD458" s="2362"/>
      <c r="AE458" s="2362"/>
      <c r="AF458" s="388"/>
      <c r="AG458" s="385"/>
      <c r="AL458" s="565"/>
      <c r="AM458" s="416"/>
      <c r="AN458" s="384"/>
    </row>
    <row r="459" spans="1:40" s="398" customFormat="1" ht="12.75" customHeight="1">
      <c r="A459" s="385"/>
      <c r="B459" s="11"/>
      <c r="C459" s="564"/>
      <c r="D459" s="11"/>
      <c r="E459" s="527"/>
      <c r="F459" s="2362"/>
      <c r="G459" s="2362"/>
      <c r="H459" s="2362"/>
      <c r="I459" s="2362"/>
      <c r="J459" s="2362"/>
      <c r="K459" s="2362"/>
      <c r="L459" s="2362"/>
      <c r="M459" s="2362"/>
      <c r="N459" s="2362"/>
      <c r="O459" s="2362"/>
      <c r="P459" s="2362"/>
      <c r="Q459" s="2362"/>
      <c r="R459" s="2362"/>
      <c r="S459" s="2362"/>
      <c r="T459" s="2362"/>
      <c r="U459" s="2362"/>
      <c r="V459" s="2362"/>
      <c r="W459" s="2362"/>
      <c r="X459" s="2362"/>
      <c r="Y459" s="2362"/>
      <c r="Z459" s="2362"/>
      <c r="AA459" s="2362"/>
      <c r="AB459" s="2362"/>
      <c r="AC459" s="2362"/>
      <c r="AD459" s="2362"/>
      <c r="AE459" s="2362"/>
      <c r="AF459" s="388"/>
      <c r="AG459" s="385"/>
      <c r="AL459" s="565"/>
      <c r="AM459" s="416"/>
      <c r="AN459" s="384"/>
    </row>
    <row r="460" spans="1:40" s="398" customFormat="1" ht="12.75" customHeight="1">
      <c r="A460" s="385"/>
      <c r="B460" s="11"/>
      <c r="C460" s="587"/>
      <c r="D460" s="557"/>
      <c r="E460" s="558"/>
      <c r="F460" s="2363"/>
      <c r="G460" s="2363"/>
      <c r="H460" s="2363"/>
      <c r="I460" s="2363"/>
      <c r="J460" s="2363"/>
      <c r="K460" s="2363"/>
      <c r="L460" s="2363"/>
      <c r="M460" s="2363"/>
      <c r="N460" s="2363"/>
      <c r="O460" s="2363"/>
      <c r="P460" s="2363"/>
      <c r="Q460" s="2363"/>
      <c r="R460" s="2363"/>
      <c r="S460" s="2363"/>
      <c r="T460" s="2363"/>
      <c r="U460" s="2363"/>
      <c r="V460" s="2363"/>
      <c r="W460" s="2363"/>
      <c r="X460" s="2363"/>
      <c r="Y460" s="2363"/>
      <c r="Z460" s="2363"/>
      <c r="AA460" s="2363"/>
      <c r="AB460" s="2363"/>
      <c r="AC460" s="2363"/>
      <c r="AD460" s="2363"/>
      <c r="AE460" s="2363"/>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2366</v>
      </c>
      <c r="F462" s="2361" t="s">
        <v>2367</v>
      </c>
      <c r="G462" s="2361"/>
      <c r="H462" s="2361"/>
      <c r="I462" s="2361"/>
      <c r="J462" s="2361"/>
      <c r="K462" s="2361"/>
      <c r="L462" s="2361"/>
      <c r="M462" s="2361"/>
      <c r="N462" s="2361"/>
      <c r="O462" s="2361"/>
      <c r="P462" s="2361"/>
      <c r="Q462" s="2361"/>
      <c r="R462" s="2361"/>
      <c r="S462" s="2361"/>
      <c r="T462" s="2361"/>
      <c r="U462" s="2361"/>
      <c r="V462" s="2361"/>
      <c r="W462" s="2361"/>
      <c r="X462" s="2361"/>
      <c r="Y462" s="2361"/>
      <c r="Z462" s="2361"/>
      <c r="AA462" s="2361"/>
      <c r="AB462" s="2361"/>
      <c r="AC462" s="2361"/>
      <c r="AD462" s="2361"/>
      <c r="AE462" s="2361"/>
      <c r="AF462" s="2361"/>
      <c r="AG462" s="577"/>
      <c r="AH462" s="549"/>
      <c r="AI462" s="549"/>
      <c r="AJ462" s="549"/>
      <c r="AK462" s="549"/>
      <c r="AL462" s="578"/>
      <c r="AM462" s="416"/>
      <c r="AN462" s="439"/>
    </row>
    <row r="463" spans="1:40" s="398" customFormat="1" ht="12.75" customHeight="1">
      <c r="A463" s="385"/>
      <c r="B463" s="11"/>
      <c r="C463" s="564"/>
      <c r="D463" s="11"/>
      <c r="E463" s="527"/>
      <c r="F463" s="2362"/>
      <c r="G463" s="2362"/>
      <c r="H463" s="2362"/>
      <c r="I463" s="2362"/>
      <c r="J463" s="2362"/>
      <c r="K463" s="2362"/>
      <c r="L463" s="2362"/>
      <c r="M463" s="2362"/>
      <c r="N463" s="2362"/>
      <c r="O463" s="2362"/>
      <c r="P463" s="2362"/>
      <c r="Q463" s="2362"/>
      <c r="R463" s="2362"/>
      <c r="S463" s="2362"/>
      <c r="T463" s="2362"/>
      <c r="U463" s="2362"/>
      <c r="V463" s="2362"/>
      <c r="W463" s="2362"/>
      <c r="X463" s="2362"/>
      <c r="Y463" s="2362"/>
      <c r="Z463" s="2362"/>
      <c r="AA463" s="2362"/>
      <c r="AB463" s="2362"/>
      <c r="AC463" s="2362"/>
      <c r="AD463" s="2362"/>
      <c r="AE463" s="2362"/>
      <c r="AF463" s="2362"/>
      <c r="AL463" s="565"/>
      <c r="AM463" s="416"/>
      <c r="AN463" s="439"/>
    </row>
    <row r="464" spans="1:40" s="398" customFormat="1" ht="12.75" customHeight="1">
      <c r="A464" s="385"/>
      <c r="B464" s="11"/>
      <c r="C464" s="572"/>
      <c r="F464" s="2362"/>
      <c r="G464" s="2362"/>
      <c r="H464" s="2362"/>
      <c r="I464" s="2362"/>
      <c r="J464" s="2362"/>
      <c r="K464" s="2362"/>
      <c r="L464" s="2362"/>
      <c r="M464" s="2362"/>
      <c r="N464" s="2362"/>
      <c r="O464" s="2362"/>
      <c r="P464" s="2362"/>
      <c r="Q464" s="2362"/>
      <c r="R464" s="2362"/>
      <c r="S464" s="2362"/>
      <c r="T464" s="2362"/>
      <c r="U464" s="2362"/>
      <c r="V464" s="2362"/>
      <c r="W464" s="2362"/>
      <c r="X464" s="2362"/>
      <c r="Y464" s="2362"/>
      <c r="Z464" s="2362"/>
      <c r="AA464" s="2362"/>
      <c r="AB464" s="2362"/>
      <c r="AC464" s="2362"/>
      <c r="AD464" s="2362"/>
      <c r="AE464" s="2362"/>
      <c r="AF464" s="2362"/>
      <c r="AL464" s="565"/>
      <c r="AM464" s="416"/>
      <c r="AN464" s="439"/>
    </row>
    <row r="465" spans="1:58" s="398" customFormat="1" ht="12.75" customHeight="1">
      <c r="A465" s="385"/>
      <c r="B465" s="11"/>
      <c r="C465" s="572"/>
      <c r="F465" s="2362"/>
      <c r="G465" s="2362"/>
      <c r="H465" s="2362"/>
      <c r="I465" s="2362"/>
      <c r="J465" s="2362"/>
      <c r="K465" s="2362"/>
      <c r="L465" s="2362"/>
      <c r="M465" s="2362"/>
      <c r="N465" s="2362"/>
      <c r="O465" s="2362"/>
      <c r="P465" s="2362"/>
      <c r="Q465" s="2362"/>
      <c r="R465" s="2362"/>
      <c r="S465" s="2362"/>
      <c r="T465" s="2362"/>
      <c r="U465" s="2362"/>
      <c r="V465" s="2362"/>
      <c r="W465" s="2362"/>
      <c r="X465" s="2362"/>
      <c r="Y465" s="2362"/>
      <c r="Z465" s="2362"/>
      <c r="AA465" s="2362"/>
      <c r="AB465" s="2362"/>
      <c r="AC465" s="2362"/>
      <c r="AD465" s="2362"/>
      <c r="AE465" s="2362"/>
      <c r="AF465" s="2362"/>
      <c r="AL465" s="565"/>
      <c r="AM465" s="416"/>
      <c r="AN465" s="439"/>
    </row>
    <row r="466" spans="1:58" s="398" customFormat="1" ht="12.75" customHeight="1">
      <c r="A466" s="385"/>
      <c r="B466" s="11"/>
      <c r="C466" s="2371" t="s">
        <v>798</v>
      </c>
      <c r="D466" s="2372"/>
      <c r="E466" s="554"/>
      <c r="F466" s="555" t="s">
        <v>2350</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2373" t="s">
        <v>2333</v>
      </c>
      <c r="AG466" s="2373"/>
      <c r="AH466" s="2373"/>
      <c r="AI466" s="2373"/>
      <c r="AJ466" s="2373"/>
      <c r="AK466" s="2373"/>
      <c r="AL466" s="2374"/>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5"/>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2368</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2369</v>
      </c>
      <c r="AK469" s="2358">
        <f>IF(Application!D214="N/A",AS358,AS360)</f>
        <v>10</v>
      </c>
      <c r="AL469" s="2359"/>
      <c r="AM469" s="2360"/>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207"/>
      <c r="J471" s="1207"/>
      <c r="K471" s="1207"/>
      <c r="L471" s="1207"/>
      <c r="M471" s="1207"/>
      <c r="N471" s="1207"/>
      <c r="O471" s="1207"/>
      <c r="P471" s="1207"/>
      <c r="Q471" s="1207"/>
      <c r="R471" s="416"/>
      <c r="S471" s="388"/>
      <c r="T471" s="388"/>
      <c r="U471" s="388"/>
      <c r="V471" s="388"/>
      <c r="W471" s="388"/>
      <c r="X471" s="388"/>
      <c r="Y471" s="388"/>
      <c r="Z471" s="388"/>
      <c r="AA471" s="388"/>
      <c r="AB471" s="388"/>
      <c r="AC471" s="388"/>
      <c r="AD471" s="388"/>
      <c r="AE471" s="388"/>
      <c r="AF471" s="416"/>
      <c r="AG471" s="388"/>
      <c r="AH471" s="388"/>
      <c r="AI471" s="388"/>
      <c r="AJ471" s="388"/>
      <c r="AM471" s="11"/>
      <c r="AN471" s="439"/>
      <c r="AO471" s="398" t="s">
        <v>798</v>
      </c>
      <c r="AP471" s="398">
        <v>0</v>
      </c>
      <c r="AT471" s="398" t="s">
        <v>798</v>
      </c>
      <c r="AU471" s="398">
        <v>0</v>
      </c>
      <c r="AV471" s="583"/>
    </row>
    <row r="472" spans="1:58" s="398" customFormat="1" ht="12.75" hidden="1" customHeight="1">
      <c r="A472" s="388" t="s">
        <v>2370</v>
      </c>
      <c r="C472" s="388"/>
      <c r="E472" s="438"/>
      <c r="AE472" s="2373" t="s">
        <v>2371</v>
      </c>
      <c r="AF472" s="2373"/>
      <c r="AG472" s="2373"/>
      <c r="AH472" s="2373"/>
      <c r="AI472" s="2373"/>
      <c r="AJ472" s="2373"/>
      <c r="AK472" s="2373"/>
      <c r="AL472" s="1204"/>
      <c r="AN472" s="439"/>
      <c r="AO472" s="398" t="s">
        <v>2372</v>
      </c>
      <c r="AP472" s="398">
        <v>5</v>
      </c>
      <c r="AT472" s="398" t="s">
        <v>2372</v>
      </c>
      <c r="AU472" s="398">
        <v>5</v>
      </c>
      <c r="AV472" s="583"/>
    </row>
    <row r="473" spans="1:58" s="398" customFormat="1" ht="12.75" hidden="1" customHeight="1">
      <c r="A473" s="388"/>
      <c r="B473" s="385" t="s">
        <v>2373</v>
      </c>
      <c r="C473" s="388"/>
      <c r="E473" s="438"/>
      <c r="AE473" s="1204"/>
      <c r="AF473" s="1204"/>
      <c r="AG473" s="1204"/>
      <c r="AH473" s="1204"/>
      <c r="AI473" s="1204"/>
      <c r="AJ473" s="1204"/>
      <c r="AK473" s="1204"/>
      <c r="AL473" s="1204"/>
      <c r="AN473" s="439"/>
      <c r="AO473" s="398" t="s">
        <v>2374</v>
      </c>
      <c r="AP473" s="398">
        <v>5</v>
      </c>
      <c r="AT473" s="398" t="s">
        <v>2375</v>
      </c>
      <c r="AU473" s="398">
        <v>5</v>
      </c>
      <c r="AV473" s="583"/>
    </row>
    <row r="474" spans="1:58" s="398" customFormat="1" ht="12.75" hidden="1" customHeight="1">
      <c r="A474" s="388"/>
      <c r="B474" s="388" t="s">
        <v>2376</v>
      </c>
      <c r="C474" s="388"/>
      <c r="E474" s="438"/>
      <c r="AE474" s="1204"/>
      <c r="AF474" s="1204"/>
      <c r="AG474" s="1204"/>
      <c r="AH474" s="1204"/>
      <c r="AI474" s="1204"/>
      <c r="AJ474" s="1204"/>
      <c r="AK474" s="1204"/>
      <c r="AL474" s="1204"/>
      <c r="AN474" s="439"/>
      <c r="AO474" s="398" t="s">
        <v>2377</v>
      </c>
      <c r="AP474" s="398">
        <v>5</v>
      </c>
      <c r="AQ474" s="388"/>
      <c r="AR474" s="388"/>
      <c r="AS474" s="586"/>
      <c r="AT474" s="398" t="s">
        <v>2377</v>
      </c>
      <c r="AU474" s="398">
        <v>5</v>
      </c>
      <c r="AV474" s="385"/>
    </row>
    <row r="475" spans="1:58" s="398" customFormat="1" ht="12.75" hidden="1" customHeight="1">
      <c r="A475" s="388"/>
      <c r="B475" s="388" t="s">
        <v>2378</v>
      </c>
      <c r="C475" s="388"/>
      <c r="E475" s="438"/>
      <c r="AE475" s="1204"/>
      <c r="AF475" s="1204"/>
      <c r="AG475" s="1204"/>
      <c r="AH475" s="1204"/>
      <c r="AI475" s="1204"/>
      <c r="AJ475" s="1204"/>
      <c r="AK475" s="1204"/>
      <c r="AL475" s="1204"/>
      <c r="AN475" s="439"/>
      <c r="AO475" s="398" t="s">
        <v>2379</v>
      </c>
      <c r="AP475" s="398">
        <v>5</v>
      </c>
      <c r="AQ475" s="388"/>
      <c r="AR475" s="388"/>
      <c r="AT475" s="398" t="s">
        <v>2379</v>
      </c>
      <c r="AU475" s="398">
        <v>5</v>
      </c>
    </row>
    <row r="476" spans="1:58" s="398" customFormat="1" ht="12.75" hidden="1" customHeight="1">
      <c r="A476" s="388"/>
      <c r="C476" s="388"/>
      <c r="E476" s="438"/>
      <c r="AE476" s="1204"/>
      <c r="AF476" s="1204"/>
      <c r="AG476" s="1204"/>
      <c r="AH476" s="1204"/>
      <c r="AI476" s="1204"/>
      <c r="AJ476" s="1204"/>
      <c r="AK476" s="1204"/>
      <c r="AL476" s="1204"/>
      <c r="AN476" s="439"/>
      <c r="AO476" s="398" t="s">
        <v>2380</v>
      </c>
      <c r="AP476" s="398">
        <v>5</v>
      </c>
      <c r="AQ476" s="388"/>
      <c r="AR476" s="388"/>
      <c r="AT476" s="398" t="s">
        <v>2380</v>
      </c>
      <c r="AU476" s="398">
        <v>5</v>
      </c>
    </row>
    <row r="477" spans="1:58" s="398" customFormat="1" ht="12.75" hidden="1" customHeight="1">
      <c r="A477" s="388"/>
      <c r="C477" s="547" t="s">
        <v>2381</v>
      </c>
      <c r="D477" s="416"/>
      <c r="AE477" s="1204"/>
      <c r="AF477" s="1204"/>
      <c r="AG477" s="438"/>
      <c r="AH477" s="438"/>
      <c r="AI477" s="438"/>
      <c r="AJ477" s="438"/>
      <c r="AK477" s="438"/>
      <c r="AL477" s="438"/>
      <c r="AN477" s="439"/>
      <c r="AO477" s="398" t="s">
        <v>2382</v>
      </c>
      <c r="AP477" s="398">
        <v>5</v>
      </c>
      <c r="AT477" s="398" t="s">
        <v>2382</v>
      </c>
      <c r="AU477" s="398">
        <v>5</v>
      </c>
    </row>
    <row r="478" spans="1:58" s="398" customFormat="1" ht="12.75" hidden="1" customHeight="1">
      <c r="A478" s="388"/>
      <c r="C478" s="2380" t="s">
        <v>798</v>
      </c>
      <c r="D478" s="2381"/>
      <c r="E478" s="592" t="s">
        <v>51</v>
      </c>
      <c r="F478" s="2458" t="s">
        <v>2383</v>
      </c>
      <c r="G478" s="2458"/>
      <c r="H478" s="2458"/>
      <c r="I478" s="2458"/>
      <c r="J478" s="2458"/>
      <c r="K478" s="2458"/>
      <c r="L478" s="2458"/>
      <c r="M478" s="2458"/>
      <c r="N478" s="2458"/>
      <c r="O478" s="2458"/>
      <c r="P478" s="2458"/>
      <c r="Q478" s="2458"/>
      <c r="R478" s="2458"/>
      <c r="S478" s="2458"/>
      <c r="T478" s="2458"/>
      <c r="U478" s="2458"/>
      <c r="V478" s="2458"/>
      <c r="W478" s="2458"/>
      <c r="X478" s="2458"/>
      <c r="Y478" s="2458"/>
      <c r="Z478" s="2458"/>
      <c r="AA478" s="2458"/>
      <c r="AB478" s="2458"/>
      <c r="AC478" s="2458"/>
      <c r="AD478" s="2458"/>
      <c r="AE478" s="2458"/>
      <c r="AF478" s="549"/>
      <c r="AG478" s="549"/>
      <c r="AH478" s="549"/>
      <c r="AI478" s="549"/>
      <c r="AJ478" s="549"/>
      <c r="AK478" s="578"/>
      <c r="AN478" s="439"/>
      <c r="AO478" s="398" t="s">
        <v>2384</v>
      </c>
      <c r="AP478" s="398">
        <v>5</v>
      </c>
      <c r="AS478" s="589"/>
      <c r="AT478" s="398" t="s">
        <v>2385</v>
      </c>
      <c r="AU478" s="398">
        <v>5</v>
      </c>
    </row>
    <row r="479" spans="1:58" s="398" customFormat="1" ht="12.75" hidden="1" customHeight="1">
      <c r="C479" s="593"/>
      <c r="E479" s="594"/>
      <c r="F479" s="2459"/>
      <c r="G479" s="2459"/>
      <c r="H479" s="2459"/>
      <c r="I479" s="2459"/>
      <c r="J479" s="2459"/>
      <c r="K479" s="2459"/>
      <c r="L479" s="2459"/>
      <c r="M479" s="2459"/>
      <c r="N479" s="2459"/>
      <c r="O479" s="2459"/>
      <c r="P479" s="2459"/>
      <c r="Q479" s="2459"/>
      <c r="R479" s="2459"/>
      <c r="S479" s="2459"/>
      <c r="T479" s="2459"/>
      <c r="U479" s="2459"/>
      <c r="V479" s="2459"/>
      <c r="W479" s="2459"/>
      <c r="X479" s="2459"/>
      <c r="Y479" s="2459"/>
      <c r="Z479" s="2459"/>
      <c r="AA479" s="2459"/>
      <c r="AB479" s="2459"/>
      <c r="AC479" s="2459"/>
      <c r="AD479" s="2459"/>
      <c r="AE479" s="2459"/>
      <c r="AG479" s="399"/>
      <c r="AH479" s="399"/>
      <c r="AI479" s="399"/>
      <c r="AJ479" s="399"/>
      <c r="AK479" s="565"/>
      <c r="AN479" s="439"/>
      <c r="AO479" s="398" t="s">
        <v>2386</v>
      </c>
      <c r="AP479" s="398">
        <v>1</v>
      </c>
      <c r="AT479" s="398" t="s">
        <v>2386</v>
      </c>
      <c r="AU479" s="398">
        <v>1</v>
      </c>
    </row>
    <row r="480" spans="1:58" s="398" customFormat="1" ht="12.75" hidden="1" customHeight="1">
      <c r="C480" s="595"/>
      <c r="D480" s="561"/>
      <c r="E480" s="596"/>
      <c r="F480" s="2386" t="s">
        <v>798</v>
      </c>
      <c r="G480" s="2386"/>
      <c r="H480" s="2386"/>
      <c r="I480" s="2386"/>
      <c r="J480" s="2386"/>
      <c r="K480" s="2386"/>
      <c r="L480" s="2386"/>
      <c r="M480" s="2386"/>
      <c r="N480" s="2386"/>
      <c r="O480" s="2386"/>
      <c r="P480" s="2386"/>
      <c r="Q480" s="2386"/>
      <c r="R480" s="2386"/>
      <c r="S480" s="2386"/>
      <c r="T480" s="2386"/>
      <c r="U480" s="2386"/>
      <c r="V480" s="2386"/>
      <c r="W480" s="2386"/>
      <c r="X480" s="2386"/>
      <c r="Y480" s="2386"/>
      <c r="Z480" s="2386"/>
      <c r="AA480" s="597"/>
      <c r="AB480" s="495"/>
      <c r="AC480" s="495"/>
      <c r="AD480" s="561"/>
      <c r="AE480" s="561"/>
      <c r="AF480" s="561"/>
      <c r="AG480" s="598">
        <f>IF($C$478="Yes",(VLOOKUP($F$480,$AT$471:$AU$479,2,FALSE)),0)</f>
        <v>0</v>
      </c>
      <c r="AH480" s="599" t="s">
        <v>2165</v>
      </c>
      <c r="AI480" s="598"/>
      <c r="AJ480" s="598"/>
      <c r="AK480" s="575"/>
      <c r="AN480" s="439"/>
      <c r="AS480" s="586"/>
      <c r="AX480" s="586"/>
      <c r="BB480" s="586" t="s">
        <v>2387</v>
      </c>
      <c r="BF480" s="586" t="s">
        <v>2388</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798</v>
      </c>
      <c r="AP481" s="477">
        <v>0</v>
      </c>
      <c r="AT481" s="398" t="s">
        <v>798</v>
      </c>
      <c r="AU481" s="477">
        <v>0</v>
      </c>
      <c r="AW481" s="398" t="s">
        <v>798</v>
      </c>
      <c r="AX481" s="477">
        <v>0</v>
      </c>
      <c r="AY481" s="436"/>
      <c r="BB481" s="398" t="s">
        <v>798</v>
      </c>
      <c r="BC481" s="436">
        <v>0</v>
      </c>
      <c r="BF481" s="398" t="s">
        <v>798</v>
      </c>
      <c r="BG481" s="436">
        <v>0</v>
      </c>
    </row>
    <row r="482" spans="1:81" s="398" customFormat="1" ht="12.75" hidden="1" customHeight="1">
      <c r="C482" s="2387" t="s">
        <v>847</v>
      </c>
      <c r="D482" s="2388"/>
      <c r="E482" s="592" t="s">
        <v>53</v>
      </c>
      <c r="F482" s="600" t="s">
        <v>2389</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2390</v>
      </c>
      <c r="AX482" s="477">
        <v>3</v>
      </c>
      <c r="AY482" s="436"/>
      <c r="BB482" s="589">
        <v>0.4</v>
      </c>
      <c r="BC482" s="436">
        <v>3</v>
      </c>
      <c r="BF482" s="589">
        <v>0.4</v>
      </c>
      <c r="BG482" s="436">
        <v>4</v>
      </c>
    </row>
    <row r="483" spans="1:81" s="398" customFormat="1" ht="12.75" hidden="1" customHeight="1">
      <c r="C483" s="601" t="s">
        <v>2391</v>
      </c>
      <c r="F483" s="602" t="s">
        <v>2392</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204"/>
      <c r="AG483" s="454"/>
      <c r="AH483" s="454"/>
      <c r="AI483" s="454"/>
      <c r="AJ483" s="454"/>
      <c r="AK483" s="565"/>
      <c r="AN483" s="439"/>
      <c r="AO483" s="589">
        <v>0.2</v>
      </c>
      <c r="AP483" s="477">
        <v>5</v>
      </c>
      <c r="AT483" s="589">
        <v>0.12</v>
      </c>
      <c r="AU483" s="477">
        <v>5</v>
      </c>
      <c r="AW483" s="398" t="s">
        <v>2393</v>
      </c>
      <c r="AX483" s="477">
        <v>5</v>
      </c>
      <c r="AY483" s="436"/>
      <c r="BB483" s="589">
        <v>0.6</v>
      </c>
      <c r="BC483" s="436">
        <v>4</v>
      </c>
      <c r="BF483" s="589">
        <v>0.6</v>
      </c>
      <c r="BG483" s="436">
        <v>5</v>
      </c>
    </row>
    <row r="484" spans="1:81" s="398" customFormat="1" ht="12.75" hidden="1" customHeight="1">
      <c r="C484" s="1218"/>
      <c r="D484" s="1219"/>
      <c r="E484" s="603"/>
      <c r="F484" s="602" t="s">
        <v>2394</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2395</v>
      </c>
      <c r="G485" s="398"/>
      <c r="H485" s="398"/>
      <c r="I485" s="602"/>
      <c r="J485" s="602"/>
      <c r="K485" s="602"/>
      <c r="L485" s="602"/>
      <c r="M485" s="602"/>
      <c r="N485" s="602"/>
      <c r="O485" s="602"/>
      <c r="P485" s="602"/>
      <c r="Q485" s="602"/>
      <c r="R485" s="602"/>
      <c r="S485" s="602"/>
      <c r="T485" s="602"/>
      <c r="U485" s="602"/>
      <c r="V485" s="2366" t="s">
        <v>798</v>
      </c>
      <c r="W485" s="2366"/>
      <c r="X485" s="2366"/>
      <c r="Y485" s="602"/>
      <c r="Z485" s="602"/>
      <c r="AA485" s="602"/>
      <c r="AB485" s="602"/>
      <c r="AC485" s="602"/>
      <c r="AD485" s="450"/>
      <c r="AE485" s="450"/>
      <c r="AF485" s="450"/>
      <c r="AG485" s="454">
        <f>IF(AND($C$482="Yes",$V$487="N/A",$V$492="N/A",$V$496="N/A",$V$498="N/A"),(VLOOKUP(V485,$AW$481:$AX$483,2,FALSE)),0)</f>
        <v>0</v>
      </c>
      <c r="AH485" s="1197" t="s">
        <v>2165</v>
      </c>
      <c r="AI485" s="399"/>
      <c r="AJ485" s="399"/>
      <c r="AK485" s="565"/>
      <c r="AL485" s="398"/>
      <c r="AM485" s="398"/>
      <c r="AN485" s="439"/>
      <c r="AT485" s="398" t="s">
        <v>798</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197"/>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2396</v>
      </c>
      <c r="G487" s="398"/>
      <c r="H487" s="398"/>
      <c r="I487" s="602"/>
      <c r="J487" s="602"/>
      <c r="K487" s="602"/>
      <c r="L487" s="602"/>
      <c r="M487" s="602"/>
      <c r="N487" s="602"/>
      <c r="O487" s="602"/>
      <c r="P487" s="602"/>
      <c r="Q487" s="602"/>
      <c r="R487" s="602"/>
      <c r="S487" s="602"/>
      <c r="T487" s="602"/>
      <c r="U487" s="602"/>
      <c r="V487" s="2366" t="s">
        <v>798</v>
      </c>
      <c r="W487" s="2366"/>
      <c r="X487" s="2366"/>
      <c r="Y487" s="602"/>
      <c r="Z487" s="602"/>
      <c r="AA487" s="602"/>
      <c r="AB487" s="602"/>
      <c r="AC487" s="602"/>
      <c r="AD487" s="450"/>
      <c r="AE487" s="450"/>
      <c r="AF487" s="450"/>
      <c r="AG487" s="454">
        <f>IF(AND($C$482="Yes",$V$485="N/A", $V$492="N/A",$V$496="N/A",$V$498="N/A"),(VLOOKUP(V487,$AT$481:$AU$483,2,FALSE)),0)</f>
        <v>0</v>
      </c>
      <c r="AH487" s="1197" t="s">
        <v>2165</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798</v>
      </c>
      <c r="AP488" s="398">
        <v>0</v>
      </c>
    </row>
    <row r="489" spans="1:81" s="398" customFormat="1" ht="12.75" hidden="1" customHeight="1">
      <c r="C489" s="593"/>
      <c r="E489" s="594"/>
      <c r="F489" s="607" t="s">
        <v>2397</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2398</v>
      </c>
      <c r="AP489" s="477">
        <v>2</v>
      </c>
    </row>
    <row r="490" spans="1:81" s="398" customFormat="1" ht="12.75" hidden="1" customHeight="1">
      <c r="C490" s="593"/>
      <c r="F490" s="450" t="s">
        <v>2399</v>
      </c>
      <c r="M490" s="594"/>
      <c r="N490" s="594"/>
      <c r="O490" s="594"/>
      <c r="P490" s="594"/>
      <c r="Q490" s="399"/>
      <c r="R490" s="399"/>
      <c r="S490" s="399"/>
      <c r="T490" s="399"/>
      <c r="U490" s="399"/>
      <c r="V490" s="399"/>
      <c r="W490" s="399"/>
      <c r="X490" s="399"/>
      <c r="Y490" s="399"/>
      <c r="Z490" s="399"/>
      <c r="AA490" s="399"/>
      <c r="AB490" s="399"/>
      <c r="AC490" s="399"/>
      <c r="AG490" s="454"/>
      <c r="AH490" s="1197"/>
      <c r="AI490" s="399"/>
      <c r="AJ490" s="399"/>
      <c r="AK490" s="565"/>
      <c r="AN490" s="439"/>
      <c r="AO490" s="398" t="s">
        <v>2400</v>
      </c>
      <c r="AP490" s="398">
        <v>2</v>
      </c>
    </row>
    <row r="491" spans="1:81" s="438" customFormat="1" ht="12.75" hidden="1" customHeight="1">
      <c r="A491" s="398"/>
      <c r="B491" s="398"/>
      <c r="C491" s="572"/>
      <c r="D491" s="416"/>
      <c r="E491" s="416"/>
      <c r="F491" s="450" t="s">
        <v>2401</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197"/>
      <c r="AI491" s="399"/>
      <c r="AJ491" s="399"/>
      <c r="AK491" s="565"/>
      <c r="AL491" s="398"/>
      <c r="AM491" s="398"/>
      <c r="AN491" s="515"/>
      <c r="AO491" s="398" t="s">
        <v>2402</v>
      </c>
      <c r="AP491" s="398">
        <v>2</v>
      </c>
    </row>
    <row r="492" spans="1:81" s="398" customFormat="1" ht="12.75" hidden="1" customHeight="1">
      <c r="C492" s="608"/>
      <c r="F492" s="606" t="s">
        <v>2403</v>
      </c>
      <c r="M492" s="594"/>
      <c r="N492" s="594"/>
      <c r="O492" s="594"/>
      <c r="P492" s="594"/>
      <c r="Q492" s="399"/>
      <c r="R492" s="399"/>
      <c r="S492" s="399"/>
      <c r="T492" s="399"/>
      <c r="U492" s="399"/>
      <c r="V492" s="2366" t="s">
        <v>798</v>
      </c>
      <c r="W492" s="2366"/>
      <c r="X492" s="2366"/>
      <c r="Y492" s="399"/>
      <c r="Z492" s="399"/>
      <c r="AA492" s="399"/>
      <c r="AB492" s="399"/>
      <c r="AC492" s="399"/>
      <c r="AG492" s="454">
        <f>IF(AND($C$482="Yes",$V$485="N/A",$V$487="N/A", $V$496="N/A",$V$498="N/A"),(VLOOKUP($V$492,$AT$485:$AU$487,2,FALSE)),0)</f>
        <v>0</v>
      </c>
      <c r="AH492" s="1197" t="s">
        <v>2165</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2404</v>
      </c>
      <c r="D494" s="549"/>
      <c r="E494" s="549"/>
      <c r="F494" s="611" t="s">
        <v>2405</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798</v>
      </c>
      <c r="AP494" s="398">
        <v>0</v>
      </c>
      <c r="AQ494" s="388"/>
    </row>
    <row r="495" spans="1:81" s="438" customFormat="1" ht="12.75" hidden="1" customHeight="1">
      <c r="A495" s="398"/>
      <c r="B495" s="398"/>
      <c r="C495" s="612"/>
      <c r="D495" s="2385"/>
      <c r="E495" s="2385"/>
      <c r="F495" s="602" t="s">
        <v>2406</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2407</v>
      </c>
      <c r="AP495" s="477">
        <v>5</v>
      </c>
      <c r="AQ495" s="388"/>
    </row>
    <row r="496" spans="1:81" s="416" customFormat="1" ht="12.75" hidden="1" customHeight="1">
      <c r="A496" s="1210"/>
      <c r="B496" s="398"/>
      <c r="C496" s="593"/>
      <c r="D496" s="398"/>
      <c r="E496" s="398"/>
      <c r="F496" s="613" t="s">
        <v>2395</v>
      </c>
      <c r="G496" s="398"/>
      <c r="H496" s="398"/>
      <c r="I496" s="398"/>
      <c r="J496" s="398"/>
      <c r="K496" s="398"/>
      <c r="L496" s="398"/>
      <c r="M496" s="398"/>
      <c r="N496" s="398"/>
      <c r="O496" s="398"/>
      <c r="P496" s="398"/>
      <c r="Q496" s="398"/>
      <c r="R496" s="398"/>
      <c r="S496" s="398"/>
      <c r="T496" s="398"/>
      <c r="U496" s="398"/>
      <c r="V496" s="2366" t="s">
        <v>798</v>
      </c>
      <c r="W496" s="2366"/>
      <c r="X496" s="2366"/>
      <c r="Y496" s="398"/>
      <c r="Z496" s="398"/>
      <c r="AA496" s="398"/>
      <c r="AB496" s="398"/>
      <c r="AC496" s="398"/>
      <c r="AD496" s="398"/>
      <c r="AE496" s="398"/>
      <c r="AF496" s="398"/>
      <c r="AG496" s="454">
        <f>IF(AND($C$482="Yes",$V$485="N/A",V487="N/A",$V$492="N/A",$V$498="N/A"),(VLOOKUP($V$496,$BB$481:$BC$484,2,FALSE)),0)</f>
        <v>0</v>
      </c>
      <c r="AH496" s="1197" t="s">
        <v>2165</v>
      </c>
      <c r="AI496" s="399"/>
      <c r="AJ496" s="398"/>
      <c r="AK496" s="565"/>
      <c r="AL496" s="398"/>
      <c r="AM496" s="398"/>
      <c r="AN496" s="520"/>
      <c r="AO496" s="398" t="s">
        <v>2408</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210"/>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2409</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210"/>
      <c r="B498" s="398"/>
      <c r="C498" s="595"/>
      <c r="D498" s="561"/>
      <c r="E498" s="561"/>
      <c r="F498" s="606" t="s">
        <v>2396</v>
      </c>
      <c r="G498" s="597"/>
      <c r="H498" s="597"/>
      <c r="I498" s="561"/>
      <c r="J498" s="561"/>
      <c r="K498" s="561"/>
      <c r="L498" s="561"/>
      <c r="M498" s="561"/>
      <c r="N498" s="561"/>
      <c r="O498" s="561"/>
      <c r="P498" s="561"/>
      <c r="Q498" s="561"/>
      <c r="R498" s="561"/>
      <c r="S498" s="561"/>
      <c r="T498" s="561"/>
      <c r="U498" s="561"/>
      <c r="V498" s="2366" t="s">
        <v>798</v>
      </c>
      <c r="W498" s="2366"/>
      <c r="X498" s="2366"/>
      <c r="Y498" s="561"/>
      <c r="Z498" s="561"/>
      <c r="AA498" s="561"/>
      <c r="AB498" s="561"/>
      <c r="AC498" s="561"/>
      <c r="AD498" s="561"/>
      <c r="AE498" s="561"/>
      <c r="AF498" s="561"/>
      <c r="AG498" s="614">
        <f>IF(AND($C$482="Yes",$V$485="N/A",$V$487="N/A",$V$492="N/A",$V$496="N/A"),(VLOOKUP($V$498,$BF$481:$BG$483,2,FALSE)),0)</f>
        <v>0</v>
      </c>
      <c r="AH498" s="599" t="s">
        <v>2165</v>
      </c>
      <c r="AI498" s="561"/>
      <c r="AJ498" s="561"/>
      <c r="AK498" s="575"/>
      <c r="AL498" s="398"/>
      <c r="AM498" s="398"/>
      <c r="AN498" s="615"/>
      <c r="AP498" s="438"/>
      <c r="AQ498" s="438"/>
      <c r="AR498" s="438"/>
      <c r="AS498" s="438"/>
      <c r="AT498" s="438"/>
      <c r="AU498" s="438"/>
      <c r="AV498" s="438"/>
      <c r="AW498" s="438"/>
      <c r="AX498" s="438"/>
      <c r="AY498" s="438"/>
      <c r="AZ498" s="438"/>
      <c r="BA498" s="438"/>
      <c r="BB498" s="438"/>
      <c r="BC498" s="438"/>
      <c r="BE498" s="438"/>
      <c r="BF498" s="438"/>
      <c r="BG498" s="438"/>
      <c r="BH498" s="438"/>
      <c r="BI498" s="438"/>
      <c r="BJ498" s="438"/>
      <c r="BK498" s="438"/>
      <c r="BL498" s="438"/>
      <c r="BM498" s="438"/>
      <c r="BN498" s="438"/>
      <c r="BO498" s="438"/>
      <c r="BP498" s="438"/>
      <c r="BQ498" s="438"/>
      <c r="BR498" s="438"/>
    </row>
    <row r="499" spans="1:81" s="388" customFormat="1" ht="12.75" hidden="1" customHeight="1">
      <c r="A499" s="1210"/>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E499" s="398"/>
      <c r="BF499" s="398"/>
      <c r="BG499" s="398"/>
      <c r="BH499" s="398"/>
      <c r="BI499" s="398"/>
      <c r="BJ499" s="617"/>
      <c r="BK499" s="617"/>
      <c r="BL499" s="617"/>
      <c r="BM499" s="617"/>
      <c r="BN499" s="617"/>
      <c r="BO499" s="617"/>
      <c r="BP499" s="617"/>
      <c r="BQ499" s="438"/>
      <c r="BR499" s="398"/>
    </row>
    <row r="500" spans="1:81" s="388" customFormat="1" ht="12.75" hidden="1" customHeight="1">
      <c r="A500" s="1210"/>
      <c r="B500" s="398"/>
      <c r="C500" s="547" t="s">
        <v>2410</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E500" s="398"/>
      <c r="BF500" s="398"/>
      <c r="BG500" s="398"/>
      <c r="BH500" s="398"/>
      <c r="BI500" s="398"/>
      <c r="BJ500" s="617"/>
      <c r="BK500" s="617"/>
      <c r="BL500" s="617"/>
      <c r="BM500" s="617"/>
      <c r="BN500" s="617"/>
      <c r="BO500" s="617"/>
      <c r="BP500" s="617"/>
      <c r="BQ500" s="438"/>
      <c r="BR500" s="398"/>
    </row>
    <row r="501" spans="1:81" s="416" customFormat="1" ht="12.75" hidden="1" customHeight="1">
      <c r="A501" s="1210"/>
      <c r="B501" s="398"/>
      <c r="C501" s="2380" t="s">
        <v>798</v>
      </c>
      <c r="D501" s="2381"/>
      <c r="E501" s="592" t="s">
        <v>51</v>
      </c>
      <c r="F501" s="2458" t="s">
        <v>2383</v>
      </c>
      <c r="G501" s="2458"/>
      <c r="H501" s="2458"/>
      <c r="I501" s="2458"/>
      <c r="J501" s="2458"/>
      <c r="K501" s="2458"/>
      <c r="L501" s="2458"/>
      <c r="M501" s="2458"/>
      <c r="N501" s="2458"/>
      <c r="O501" s="2458"/>
      <c r="P501" s="2458"/>
      <c r="Q501" s="2458"/>
      <c r="R501" s="2458"/>
      <c r="S501" s="2458"/>
      <c r="T501" s="2458"/>
      <c r="U501" s="2458"/>
      <c r="V501" s="2458"/>
      <c r="W501" s="2458"/>
      <c r="X501" s="2458"/>
      <c r="Y501" s="2458"/>
      <c r="Z501" s="2458"/>
      <c r="AA501" s="2458"/>
      <c r="AB501" s="2458"/>
      <c r="AC501" s="2458"/>
      <c r="AD501" s="2458"/>
      <c r="AE501" s="2458"/>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210"/>
      <c r="B502" s="398"/>
      <c r="C502" s="593"/>
      <c r="D502" s="398"/>
      <c r="E502" s="594"/>
      <c r="F502" s="2459"/>
      <c r="G502" s="2459"/>
      <c r="H502" s="2459"/>
      <c r="I502" s="2459"/>
      <c r="J502" s="2459"/>
      <c r="K502" s="2459"/>
      <c r="L502" s="2459"/>
      <c r="M502" s="2459"/>
      <c r="N502" s="2459"/>
      <c r="O502" s="2459"/>
      <c r="P502" s="2459"/>
      <c r="Q502" s="2459"/>
      <c r="R502" s="2459"/>
      <c r="S502" s="2459"/>
      <c r="T502" s="2459"/>
      <c r="U502" s="2459"/>
      <c r="V502" s="2459"/>
      <c r="W502" s="2459"/>
      <c r="X502" s="2459"/>
      <c r="Y502" s="2459"/>
      <c r="Z502" s="2459"/>
      <c r="AA502" s="2459"/>
      <c r="AB502" s="2459"/>
      <c r="AC502" s="2459"/>
      <c r="AD502" s="2459"/>
      <c r="AE502" s="2459"/>
      <c r="AF502" s="398"/>
      <c r="AG502" s="399"/>
      <c r="AH502" s="399"/>
      <c r="AI502" s="399"/>
      <c r="AJ502" s="399"/>
      <c r="AK502" s="565"/>
      <c r="AL502" s="398"/>
      <c r="AM502" s="398"/>
      <c r="AN502" s="383"/>
      <c r="AO502" s="23"/>
      <c r="AP502" s="619"/>
      <c r="AQ502" s="619"/>
      <c r="AR502" s="619"/>
      <c r="AS502" s="1210"/>
      <c r="AT502" s="398"/>
      <c r="AU502" s="620"/>
      <c r="AV502" s="620"/>
      <c r="AW502" s="620"/>
      <c r="AX502" s="620"/>
      <c r="AY502" s="620"/>
      <c r="AZ502" s="620"/>
      <c r="BA502" s="620"/>
      <c r="BB502" s="11"/>
      <c r="BC502" s="11"/>
      <c r="BD502" s="385"/>
      <c r="BE502" s="619"/>
      <c r="BF502" s="619"/>
      <c r="BG502" s="619"/>
      <c r="BH502" s="1210"/>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210"/>
      <c r="B503" s="398"/>
      <c r="C503" s="595"/>
      <c r="D503" s="561"/>
      <c r="E503" s="596"/>
      <c r="F503" s="2379" t="s">
        <v>798</v>
      </c>
      <c r="G503" s="2379"/>
      <c r="H503" s="2379"/>
      <c r="I503" s="2379"/>
      <c r="J503" s="2379"/>
      <c r="K503" s="2379"/>
      <c r="L503" s="2379"/>
      <c r="M503" s="2379"/>
      <c r="N503" s="2379"/>
      <c r="O503" s="2379"/>
      <c r="P503" s="2379"/>
      <c r="Q503" s="2379"/>
      <c r="R503" s="2379"/>
      <c r="S503" s="2379"/>
      <c r="T503" s="2379"/>
      <c r="U503" s="2379"/>
      <c r="V503" s="2379"/>
      <c r="W503" s="2379"/>
      <c r="X503" s="2379"/>
      <c r="Y503" s="2379"/>
      <c r="Z503" s="2379"/>
      <c r="AA503" s="597"/>
      <c r="AB503" s="495"/>
      <c r="AC503" s="495"/>
      <c r="AD503" s="561"/>
      <c r="AE503" s="561"/>
      <c r="AF503" s="561"/>
      <c r="AG503" s="598">
        <f>IF($C$501="Yes",(VLOOKUP($F$503,$AO$471:$AP$479,2,FALSE)),0)</f>
        <v>0</v>
      </c>
      <c r="AH503" s="599" t="s">
        <v>2165</v>
      </c>
      <c r="AI503" s="598"/>
      <c r="AJ503" s="495"/>
      <c r="AK503" s="575"/>
      <c r="AL503" s="398"/>
      <c r="AM503" s="398"/>
      <c r="AN503" s="383"/>
      <c r="AO503" s="23"/>
      <c r="AP503" s="619"/>
      <c r="AQ503" s="619"/>
      <c r="AR503" s="619"/>
      <c r="AS503" s="1210"/>
      <c r="AT503" s="398"/>
      <c r="AU503" s="620"/>
      <c r="AV503" s="620"/>
      <c r="AW503" s="620"/>
      <c r="AX503" s="620"/>
      <c r="AY503" s="620"/>
      <c r="AZ503" s="620"/>
      <c r="BA503" s="620"/>
      <c r="BB503" s="11"/>
      <c r="BC503" s="11"/>
      <c r="BD503" s="385"/>
      <c r="BE503" s="619"/>
      <c r="BF503" s="619"/>
      <c r="BG503" s="619"/>
      <c r="BH503" s="1210"/>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210"/>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210"/>
      <c r="AT504" s="398"/>
      <c r="AU504" s="620"/>
      <c r="AV504" s="620"/>
      <c r="AW504" s="620"/>
      <c r="AX504" s="620"/>
      <c r="AY504" s="620"/>
      <c r="AZ504" s="620"/>
      <c r="BA504" s="620"/>
      <c r="BB504" s="11"/>
      <c r="BC504" s="11"/>
      <c r="BD504" s="385"/>
      <c r="BE504" s="619"/>
      <c r="BF504" s="619"/>
      <c r="BG504" s="619"/>
      <c r="BH504" s="1210"/>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2380" t="s">
        <v>798</v>
      </c>
      <c r="D505" s="2381"/>
      <c r="E505" s="592" t="s">
        <v>53</v>
      </c>
      <c r="F505" s="2382" t="s">
        <v>2411</v>
      </c>
      <c r="G505" s="2382"/>
      <c r="H505" s="2382"/>
      <c r="I505" s="2382"/>
      <c r="J505" s="2382"/>
      <c r="K505" s="2382"/>
      <c r="L505" s="2382"/>
      <c r="M505" s="2382"/>
      <c r="N505" s="2382"/>
      <c r="O505" s="2382"/>
      <c r="P505" s="2382"/>
      <c r="Q505" s="2382"/>
      <c r="R505" s="2382"/>
      <c r="S505" s="2382"/>
      <c r="T505" s="2382"/>
      <c r="U505" s="2382"/>
      <c r="V505" s="2382"/>
      <c r="W505" s="2382"/>
      <c r="X505" s="2382"/>
      <c r="Y505" s="2382"/>
      <c r="Z505" s="2382"/>
      <c r="AA505" s="2382"/>
      <c r="AB505" s="2382"/>
      <c r="AC505" s="2382"/>
      <c r="AD505" s="2382"/>
      <c r="AE505" s="2382"/>
      <c r="AF505" s="549"/>
      <c r="AG505" s="487"/>
      <c r="AH505" s="487"/>
      <c r="AI505" s="487"/>
      <c r="AJ505" s="487"/>
      <c r="AK505" s="578"/>
      <c r="AL505" s="398"/>
      <c r="AM505" s="398"/>
      <c r="AN505" s="383"/>
      <c r="AO505" s="23"/>
      <c r="AP505" s="619"/>
      <c r="AQ505" s="619"/>
      <c r="AR505" s="619"/>
      <c r="AS505" s="1210"/>
      <c r="AT505" s="398"/>
      <c r="AU505" s="620"/>
      <c r="AV505" s="620"/>
      <c r="AW505" s="620"/>
      <c r="AX505" s="620"/>
      <c r="AY505" s="620"/>
      <c r="AZ505" s="620"/>
      <c r="BA505" s="620"/>
      <c r="BB505" s="11"/>
      <c r="BC505" s="11"/>
      <c r="BD505" s="385"/>
      <c r="BE505" s="619"/>
      <c r="BF505" s="619"/>
      <c r="BG505" s="619"/>
      <c r="BH505" s="1210"/>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383"/>
      <c r="G506" s="2383"/>
      <c r="H506" s="2383"/>
      <c r="I506" s="2383"/>
      <c r="J506" s="2383"/>
      <c r="K506" s="2383"/>
      <c r="L506" s="2383"/>
      <c r="M506" s="2383"/>
      <c r="N506" s="2383"/>
      <c r="O506" s="2383"/>
      <c r="P506" s="2383"/>
      <c r="Q506" s="2383"/>
      <c r="R506" s="2383"/>
      <c r="S506" s="2383"/>
      <c r="T506" s="2383"/>
      <c r="U506" s="2383"/>
      <c r="V506" s="2383"/>
      <c r="W506" s="2383"/>
      <c r="X506" s="2383"/>
      <c r="Y506" s="2383"/>
      <c r="Z506" s="2383"/>
      <c r="AA506" s="2383"/>
      <c r="AB506" s="2383"/>
      <c r="AC506" s="2383"/>
      <c r="AD506" s="2383"/>
      <c r="AE506" s="2383"/>
      <c r="AF506" s="398"/>
      <c r="AG506" s="399"/>
      <c r="AH506" s="399"/>
      <c r="AI506" s="399"/>
      <c r="AJ506" s="399"/>
      <c r="AK506" s="565"/>
      <c r="AL506" s="398"/>
      <c r="AM506" s="398"/>
      <c r="AN506" s="383"/>
      <c r="AO506" s="23"/>
      <c r="AP506" s="619"/>
      <c r="AQ506" s="619"/>
      <c r="AR506" s="619"/>
      <c r="AS506" s="1210"/>
      <c r="AT506" s="398"/>
      <c r="AU506" s="620"/>
      <c r="AV506" s="620"/>
      <c r="AW506" s="620"/>
      <c r="AX506" s="620"/>
      <c r="AY506" s="620"/>
      <c r="AZ506" s="620"/>
      <c r="BA506" s="620"/>
      <c r="BB506" s="11"/>
      <c r="BC506" s="11"/>
      <c r="BD506" s="385"/>
      <c r="BE506" s="619"/>
      <c r="BF506" s="619"/>
      <c r="BG506" s="619"/>
      <c r="BH506" s="1210"/>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2412</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204"/>
      <c r="AD507" s="398"/>
      <c r="AE507" s="398"/>
      <c r="AF507" s="398"/>
      <c r="AG507" s="454"/>
      <c r="AH507" s="454"/>
      <c r="AI507" s="454"/>
      <c r="AJ507" s="454"/>
      <c r="AK507" s="565"/>
      <c r="AL507" s="398"/>
      <c r="AM507" s="398"/>
      <c r="AN507" s="383"/>
      <c r="AO507" s="385"/>
      <c r="AP507" s="619"/>
      <c r="AQ507" s="619"/>
      <c r="AR507" s="619"/>
      <c r="AS507" s="1210"/>
      <c r="AT507" s="398"/>
      <c r="AU507" s="620"/>
      <c r="AV507" s="620"/>
      <c r="AW507" s="620"/>
      <c r="AX507" s="620"/>
      <c r="AY507" s="620"/>
      <c r="AZ507" s="620"/>
      <c r="BA507" s="620"/>
      <c r="BB507" s="385"/>
      <c r="BC507" s="385"/>
      <c r="BD507" s="385"/>
      <c r="BE507" s="619"/>
      <c r="BF507" s="619"/>
      <c r="BG507" s="619"/>
      <c r="BH507" s="1210"/>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t="13" hidden="1">
      <c r="A508" s="398"/>
      <c r="B508" s="398"/>
      <c r="C508" s="595"/>
      <c r="D508" s="561"/>
      <c r="E508" s="596"/>
      <c r="F508" s="2384" t="s">
        <v>798</v>
      </c>
      <c r="G508" s="2384"/>
      <c r="H508" s="2384"/>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2165</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t="13"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197"/>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t="13" hidden="1">
      <c r="A510" s="398"/>
      <c r="B510" s="398"/>
      <c r="C510" s="2380" t="s">
        <v>798</v>
      </c>
      <c r="D510" s="2381"/>
      <c r="E510" s="592" t="s">
        <v>2413</v>
      </c>
      <c r="F510" s="611" t="s">
        <v>2414</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t="13" hidden="1">
      <c r="A512" s="398"/>
      <c r="B512" s="398"/>
      <c r="C512" s="2400"/>
      <c r="D512" s="2385"/>
      <c r="E512" s="603"/>
      <c r="F512" s="399" t="s">
        <v>2415</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204"/>
      <c r="AD512" s="398"/>
      <c r="AE512" s="398"/>
      <c r="AF512" s="398"/>
      <c r="AG512" s="454">
        <f>IF($C$510="Yes",(VLOOKUP($G$513,$AO$488:$AP$491,2,FALSE)),0)</f>
        <v>0</v>
      </c>
      <c r="AH512" s="1197" t="s">
        <v>2165</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401" t="s">
        <v>798</v>
      </c>
      <c r="H513" s="2401"/>
      <c r="I513" s="2401"/>
      <c r="J513" s="2401"/>
      <c r="K513" s="2401"/>
      <c r="L513" s="2401"/>
      <c r="M513" s="2401"/>
      <c r="N513" s="2401"/>
      <c r="O513" s="2401"/>
      <c r="P513" s="2401"/>
      <c r="Q513" s="2401"/>
      <c r="R513" s="2401"/>
      <c r="S513" s="2401"/>
      <c r="T513" s="2401"/>
      <c r="U513" s="2401"/>
      <c r="V513" s="2401"/>
      <c r="W513" s="2401"/>
      <c r="X513" s="2401"/>
      <c r="Y513" s="2401"/>
      <c r="Z513" s="2401"/>
      <c r="AA513" s="2401"/>
      <c r="AB513" s="2401"/>
      <c r="AC513" s="2401"/>
      <c r="AD513" s="2401"/>
      <c r="AE513" s="2401"/>
      <c r="AF513" s="2401"/>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2452" t="s">
        <v>798</v>
      </c>
      <c r="D515" s="2453"/>
      <c r="F515" s="399" t="s">
        <v>2416</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204"/>
      <c r="AD515" s="398"/>
      <c r="AE515" s="398"/>
      <c r="AF515" s="398"/>
      <c r="AG515" s="454">
        <f>IF(AND($C$515="Yes",$C$510="Yes"),2,0)</f>
        <v>0</v>
      </c>
      <c r="AH515" s="1197" t="s">
        <v>2165</v>
      </c>
      <c r="AI515" s="399"/>
      <c r="AJ515" s="1193"/>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t="13" hidden="1">
      <c r="A516" s="11"/>
      <c r="B516" s="398"/>
      <c r="C516" s="612"/>
      <c r="D516" s="1219"/>
      <c r="E516" s="1219"/>
      <c r="F516" s="399"/>
      <c r="G516" s="399" t="s">
        <v>2417</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204"/>
      <c r="AD516" s="398"/>
      <c r="AE516" s="398"/>
      <c r="AF516" s="398"/>
      <c r="AG516" s="1193"/>
      <c r="AH516" s="1193"/>
      <c r="AI516" s="1193"/>
      <c r="AJ516" s="1193"/>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219"/>
      <c r="E517" s="1219"/>
      <c r="F517" s="399"/>
      <c r="G517" s="399" t="s">
        <v>2418</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204"/>
      <c r="AG517" s="1193"/>
      <c r="AH517" s="1193"/>
      <c r="AI517" s="1193"/>
      <c r="AJ517" s="1193"/>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204"/>
      <c r="AH518" s="1204"/>
      <c r="AI518" s="1204"/>
      <c r="AJ518" s="1204"/>
      <c r="AK518" s="625"/>
      <c r="AL518" s="11"/>
      <c r="AM518" s="11"/>
      <c r="AN518" s="384"/>
      <c r="AO518" s="385"/>
      <c r="AP518" s="385"/>
      <c r="AQ518" s="385"/>
      <c r="AR518" s="385"/>
    </row>
    <row r="519" spans="1:81" s="398" customFormat="1" ht="12.75" hidden="1" customHeight="1">
      <c r="A519" s="477"/>
      <c r="C519" s="2452" t="s">
        <v>798</v>
      </c>
      <c r="D519" s="2453"/>
      <c r="F519" s="626" t="s">
        <v>2419</v>
      </c>
      <c r="G519" s="2362" t="s">
        <v>2420</v>
      </c>
      <c r="H519" s="2362"/>
      <c r="I519" s="2362"/>
      <c r="J519" s="2362"/>
      <c r="K519" s="2362"/>
      <c r="L519" s="2362"/>
      <c r="M519" s="2362"/>
      <c r="N519" s="2362"/>
      <c r="O519" s="2362"/>
      <c r="P519" s="2362"/>
      <c r="Q519" s="2362"/>
      <c r="R519" s="2362"/>
      <c r="S519" s="2362"/>
      <c r="T519" s="2362"/>
      <c r="U519" s="2362"/>
      <c r="V519" s="2362"/>
      <c r="W519" s="2362"/>
      <c r="X519" s="2362"/>
      <c r="Y519" s="2362"/>
      <c r="Z519" s="2362"/>
      <c r="AA519" s="2362"/>
      <c r="AB519" s="2362"/>
      <c r="AC519" s="2362"/>
      <c r="AD519" s="2362"/>
      <c r="AE519" s="2362"/>
      <c r="AF519" s="2362"/>
      <c r="AG519" s="454">
        <f>IF(AND($C$519="Yes",$C$510="Yes"),2,0)</f>
        <v>0</v>
      </c>
      <c r="AH519" s="1197" t="s">
        <v>2165</v>
      </c>
      <c r="AI519" s="399"/>
      <c r="AJ519" s="1193"/>
      <c r="AK519" s="565"/>
      <c r="AN519" s="384"/>
      <c r="AZ519" s="388"/>
      <c r="BC519" s="1187"/>
      <c r="BD519" s="388"/>
      <c r="BE519" s="388"/>
      <c r="BF519" s="388"/>
      <c r="BM519" s="385"/>
      <c r="BN519" s="388"/>
      <c r="BO519" s="385"/>
      <c r="BP519" s="388"/>
      <c r="BQ519" s="388"/>
      <c r="BR519" s="388"/>
      <c r="BS519" s="388"/>
      <c r="BT519" s="388"/>
      <c r="BU519" s="388"/>
      <c r="BV519" s="385"/>
      <c r="BW519" s="385"/>
      <c r="BX519" s="385"/>
      <c r="BY519" s="385"/>
      <c r="BZ519" s="385"/>
      <c r="CA519" s="385"/>
      <c r="CB519" s="385"/>
      <c r="CC519" s="385"/>
    </row>
    <row r="520" spans="1:81" s="398" customFormat="1" ht="12.75" hidden="1" customHeight="1">
      <c r="C520" s="627"/>
      <c r="D520" s="561"/>
      <c r="E520" s="596"/>
      <c r="F520" s="560"/>
      <c r="G520" s="2363"/>
      <c r="H520" s="2363"/>
      <c r="I520" s="2363"/>
      <c r="J520" s="2363"/>
      <c r="K520" s="2363"/>
      <c r="L520" s="2363"/>
      <c r="M520" s="2363"/>
      <c r="N520" s="2363"/>
      <c r="O520" s="2363"/>
      <c r="P520" s="2363"/>
      <c r="Q520" s="2363"/>
      <c r="R520" s="2363"/>
      <c r="S520" s="2363"/>
      <c r="T520" s="2363"/>
      <c r="U520" s="2363"/>
      <c r="V520" s="2363"/>
      <c r="W520" s="2363"/>
      <c r="X520" s="2363"/>
      <c r="Y520" s="2363"/>
      <c r="Z520" s="2363"/>
      <c r="AA520" s="2363"/>
      <c r="AB520" s="2363"/>
      <c r="AC520" s="2363"/>
      <c r="AD520" s="2363"/>
      <c r="AE520" s="2363"/>
      <c r="AF520" s="2363"/>
      <c r="AG520" s="495"/>
      <c r="AH520" s="495"/>
      <c r="AI520" s="495"/>
      <c r="AJ520" s="495"/>
      <c r="AK520" s="575"/>
      <c r="AN520" s="384"/>
      <c r="AZ520" s="388"/>
      <c r="BC520" s="1187"/>
      <c r="BD520" s="388"/>
      <c r="BE520" s="388"/>
      <c r="BF520" s="388"/>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207"/>
      <c r="H521" s="1207"/>
      <c r="I521" s="1207"/>
      <c r="J521" s="1207"/>
      <c r="K521" s="1207"/>
      <c r="L521" s="1207"/>
      <c r="M521" s="1207"/>
      <c r="N521" s="1207"/>
      <c r="O521" s="1207"/>
      <c r="P521" s="1207"/>
      <c r="Q521" s="1207"/>
      <c r="R521" s="1207"/>
      <c r="S521" s="1207"/>
      <c r="T521" s="1207"/>
      <c r="U521" s="1207"/>
      <c r="V521" s="1207"/>
      <c r="W521" s="1207"/>
      <c r="X521" s="1207"/>
      <c r="Y521" s="1207"/>
      <c r="Z521" s="1207"/>
      <c r="AA521" s="1207"/>
      <c r="AB521" s="1207"/>
      <c r="AC521" s="1207"/>
      <c r="AD521" s="1207"/>
      <c r="AE521" s="1207"/>
      <c r="AF521" s="1207"/>
      <c r="AG521" s="399"/>
      <c r="AH521" s="399"/>
      <c r="AI521" s="399"/>
      <c r="AJ521" s="399"/>
      <c r="AN521" s="384"/>
      <c r="AP521" s="388"/>
      <c r="AQ521" s="388"/>
      <c r="AR521" s="388"/>
      <c r="AS521" s="388"/>
      <c r="AT521" s="388"/>
      <c r="AU521" s="388"/>
      <c r="AV521" s="388"/>
      <c r="AW521" s="388"/>
      <c r="AX521" s="388"/>
      <c r="AY521" s="388"/>
      <c r="AZ521" s="388"/>
      <c r="BA521" s="388"/>
      <c r="BB521" s="388"/>
      <c r="BC521" s="388"/>
      <c r="BD521" s="388"/>
      <c r="BE521" s="388"/>
      <c r="BF521" s="388"/>
      <c r="BG521" s="388"/>
      <c r="BH521" s="388"/>
      <c r="BI521" s="1187"/>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2421</v>
      </c>
      <c r="D522" s="549"/>
      <c r="E522" s="630"/>
      <c r="F522" s="631"/>
      <c r="G522" s="1206"/>
      <c r="H522" s="1206"/>
      <c r="I522" s="1206"/>
      <c r="J522" s="1206"/>
      <c r="K522" s="1206"/>
      <c r="L522" s="1206"/>
      <c r="M522" s="1206"/>
      <c r="N522" s="1206"/>
      <c r="O522" s="1206"/>
      <c r="P522" s="1206"/>
      <c r="Q522" s="1206"/>
      <c r="R522" s="1206"/>
      <c r="S522" s="1206"/>
      <c r="T522" s="1206"/>
      <c r="U522" s="1206"/>
      <c r="V522" s="1206"/>
      <c r="W522" s="1206"/>
      <c r="X522" s="1206"/>
      <c r="Y522" s="1206"/>
      <c r="Z522" s="1206"/>
      <c r="AA522" s="1206"/>
      <c r="AB522" s="1206"/>
      <c r="AC522" s="1206"/>
      <c r="AD522" s="1206"/>
      <c r="AE522" s="1206"/>
      <c r="AF522" s="1206"/>
      <c r="AG522" s="487"/>
      <c r="AH522" s="487"/>
      <c r="AI522" s="487"/>
      <c r="AJ522" s="487"/>
      <c r="AK522" s="578"/>
      <c r="AN522" s="439"/>
      <c r="AP522" s="388"/>
      <c r="AQ522" s="388"/>
      <c r="AR522" s="388"/>
      <c r="AS522" s="388"/>
      <c r="AT522" s="388"/>
      <c r="AU522" s="388"/>
      <c r="AV522" s="388"/>
      <c r="AW522" s="388"/>
      <c r="AX522" s="388"/>
      <c r="AY522" s="388"/>
      <c r="AZ522" s="388"/>
      <c r="BA522" s="388"/>
      <c r="BB522" s="388"/>
      <c r="BC522" s="388"/>
      <c r="BD522" s="388"/>
      <c r="BE522" s="388"/>
      <c r="BF522" s="388"/>
      <c r="BG522" s="388"/>
      <c r="BH522" s="388"/>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2454" t="s">
        <v>798</v>
      </c>
      <c r="D523" s="2455"/>
      <c r="E523" s="632" t="s">
        <v>2422</v>
      </c>
      <c r="F523" s="602" t="s">
        <v>2423</v>
      </c>
      <c r="G523" s="1207"/>
      <c r="H523" s="1207"/>
      <c r="I523" s="1207"/>
      <c r="J523" s="1207"/>
      <c r="K523" s="1207"/>
      <c r="L523" s="1207"/>
      <c r="M523" s="1207"/>
      <c r="N523" s="1207"/>
      <c r="O523" s="1207"/>
      <c r="P523" s="1207"/>
      <c r="Q523" s="1207"/>
      <c r="R523" s="1207"/>
      <c r="S523" s="1207"/>
      <c r="T523" s="1207"/>
      <c r="U523" s="1207"/>
      <c r="V523" s="1207"/>
      <c r="W523" s="1207"/>
      <c r="X523" s="1207"/>
      <c r="Y523" s="1207"/>
      <c r="Z523" s="1207"/>
      <c r="AA523" s="1207"/>
      <c r="AB523" s="1207"/>
      <c r="AC523" s="1207"/>
      <c r="AD523" s="1207"/>
      <c r="AE523" s="1207"/>
      <c r="AF523" s="1207"/>
      <c r="AG523" s="454">
        <f>IF(C$523="Yes",(VLOOKUP(F$524,$AO$494:$AP$497,2,FALSE)),0)</f>
        <v>0</v>
      </c>
      <c r="AH523" s="1197" t="s">
        <v>2165</v>
      </c>
      <c r="AI523" s="399"/>
      <c r="AJ523" s="399"/>
      <c r="AK523" s="565"/>
      <c r="AN523" s="439"/>
      <c r="AP523" s="388"/>
      <c r="AQ523" s="388"/>
      <c r="AR523" s="388"/>
      <c r="AS523" s="388"/>
      <c r="AT523" s="388"/>
      <c r="AU523" s="388"/>
      <c r="AV523" s="388"/>
      <c r="AW523" s="388"/>
      <c r="AX523" s="388"/>
      <c r="AY523" s="388"/>
      <c r="AZ523" s="388"/>
      <c r="BA523" s="388"/>
      <c r="BB523" s="388"/>
      <c r="BC523" s="388"/>
      <c r="BD523" s="388"/>
      <c r="BE523" s="388"/>
      <c r="BF523" s="388"/>
      <c r="BG523" s="388"/>
      <c r="BH523" s="388"/>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2456" t="s">
        <v>798</v>
      </c>
      <c r="G524" s="2456"/>
      <c r="H524" s="2456"/>
      <c r="I524" s="2456"/>
      <c r="J524" s="2456"/>
      <c r="K524" s="2456"/>
      <c r="L524" s="2456"/>
      <c r="M524" s="2456"/>
      <c r="N524" s="2456"/>
      <c r="O524" s="2456"/>
      <c r="P524" s="2456"/>
      <c r="Q524" s="2456"/>
      <c r="R524" s="2456"/>
      <c r="S524" s="2456"/>
      <c r="T524" s="2456"/>
      <c r="U524" s="2456"/>
      <c r="V524" s="2456"/>
      <c r="W524" s="2456"/>
      <c r="X524" s="2456"/>
      <c r="Y524" s="2456"/>
      <c r="Z524" s="2456"/>
      <c r="AA524" s="2456"/>
      <c r="AB524" s="2456"/>
      <c r="AC524" s="2456"/>
      <c r="AD524" s="2456"/>
      <c r="AE524" s="2456"/>
      <c r="AF524" s="2456"/>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2457"/>
      <c r="G525" s="2457"/>
      <c r="H525" s="2457"/>
      <c r="I525" s="2457"/>
      <c r="J525" s="2457"/>
      <c r="K525" s="2457"/>
      <c r="L525" s="2457"/>
      <c r="M525" s="2457"/>
      <c r="N525" s="2457"/>
      <c r="O525" s="2457"/>
      <c r="P525" s="2457"/>
      <c r="Q525" s="2457"/>
      <c r="R525" s="2457"/>
      <c r="S525" s="2457"/>
      <c r="T525" s="2457"/>
      <c r="U525" s="2457"/>
      <c r="V525" s="2457"/>
      <c r="W525" s="2457"/>
      <c r="X525" s="2457"/>
      <c r="Y525" s="2457"/>
      <c r="Z525" s="2457"/>
      <c r="AA525" s="2457"/>
      <c r="AB525" s="2457"/>
      <c r="AC525" s="2457"/>
      <c r="AD525" s="2457"/>
      <c r="AE525" s="2457"/>
      <c r="AF525" s="2457"/>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2424</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2425</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2426</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2427</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2428</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2429</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2430</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2431</v>
      </c>
      <c r="AK535" s="2358">
        <f>SUM(AG479:AG524)</f>
        <v>0</v>
      </c>
      <c r="AL535" s="2359"/>
      <c r="AM535" s="2360"/>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187"/>
      <c r="AJ536" s="1187"/>
      <c r="AK536" s="437"/>
      <c r="AL536" s="437"/>
      <c r="AM536" s="437"/>
      <c r="AN536" s="439"/>
      <c r="AP536" s="385"/>
      <c r="AQ536" s="385"/>
      <c r="AR536" s="385"/>
      <c r="AS536" s="385"/>
      <c r="AT536" s="385"/>
      <c r="AU536" s="385"/>
      <c r="AV536" s="385"/>
      <c r="AW536" s="385"/>
      <c r="AX536" s="385"/>
      <c r="AY536" s="385"/>
      <c r="AZ536" s="385"/>
    </row>
    <row r="537" spans="1:81" ht="13" thickTop="1"/>
    <row r="538" spans="1:81" s="398" customFormat="1" ht="12.75" customHeight="1">
      <c r="A538" s="388" t="s">
        <v>2432</v>
      </c>
      <c r="B538" s="388" t="s">
        <v>2433</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2391" t="s">
        <v>2434</v>
      </c>
      <c r="AF538" s="2391"/>
      <c r="AG538" s="2391"/>
      <c r="AH538" s="2391"/>
      <c r="AI538" s="2391"/>
      <c r="AJ538" s="2391"/>
      <c r="AK538" s="2391"/>
      <c r="AL538" s="437"/>
      <c r="AM538" s="437"/>
      <c r="AN538" s="439"/>
    </row>
    <row r="539" spans="1:81" s="398" customFormat="1" ht="12.75" customHeight="1">
      <c r="A539" s="388"/>
      <c r="B539" s="388" t="s">
        <v>2161</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187"/>
      <c r="AF539" s="1187"/>
      <c r="AG539" s="1187"/>
      <c r="AH539" s="1187"/>
      <c r="AI539" s="1187"/>
      <c r="AJ539" s="1187"/>
      <c r="AK539" s="1187"/>
      <c r="AL539" s="437"/>
      <c r="AM539" s="437"/>
      <c r="AN539" s="439"/>
    </row>
    <row r="540" spans="1:81" s="398" customFormat="1" ht="12.75" customHeight="1">
      <c r="A540" s="388"/>
      <c r="B540" s="388"/>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187"/>
      <c r="AF540" s="1187"/>
      <c r="AG540" s="1187"/>
      <c r="AH540" s="1187"/>
      <c r="AI540" s="1187"/>
      <c r="AJ540" s="1187"/>
      <c r="AK540" s="1187"/>
      <c r="AL540" s="437"/>
      <c r="AM540" s="437"/>
      <c r="AN540" s="439"/>
    </row>
    <row r="541" spans="1:81" s="398" customFormat="1" ht="12.75" customHeight="1">
      <c r="A541" s="388"/>
      <c r="B541" s="388"/>
      <c r="C541" s="2372" t="s">
        <v>847</v>
      </c>
      <c r="D541" s="2372"/>
      <c r="E541" s="399"/>
      <c r="F541" s="2394" t="s">
        <v>2435</v>
      </c>
      <c r="G541" s="2395"/>
      <c r="H541" s="2395"/>
      <c r="I541" s="2395"/>
      <c r="J541" s="2395"/>
      <c r="K541" s="2395"/>
      <c r="L541" s="2395"/>
      <c r="M541" s="2395"/>
      <c r="N541" s="2395"/>
      <c r="O541" s="2395"/>
      <c r="P541" s="2395"/>
      <c r="Q541" s="2395"/>
      <c r="R541" s="2395"/>
      <c r="S541" s="2395"/>
      <c r="T541" s="2395"/>
      <c r="U541" s="2395"/>
      <c r="V541" s="2395"/>
      <c r="W541" s="2395"/>
      <c r="X541" s="2395"/>
      <c r="Y541" s="2395"/>
      <c r="Z541" s="2395"/>
      <c r="AA541" s="2395"/>
      <c r="AB541" s="2395"/>
      <c r="AC541" s="2395"/>
      <c r="AD541" s="2395"/>
      <c r="AE541" s="2395"/>
      <c r="AF541" s="2395"/>
      <c r="AG541" s="2395"/>
      <c r="AH541" s="2395"/>
      <c r="AI541" s="2395"/>
      <c r="AJ541" s="2395"/>
      <c r="AK541" s="2395"/>
      <c r="AL541" s="2396"/>
      <c r="AM541" s="437"/>
      <c r="AN541" s="439"/>
    </row>
    <row r="542" spans="1:81" s="398" customFormat="1" ht="12.75" customHeight="1">
      <c r="A542" s="388"/>
      <c r="B542" s="388"/>
      <c r="C542" s="399"/>
      <c r="D542" s="399"/>
      <c r="E542" s="399"/>
      <c r="F542" s="2397"/>
      <c r="G542" s="2398"/>
      <c r="H542" s="2398"/>
      <c r="I542" s="2398"/>
      <c r="J542" s="2398"/>
      <c r="K542" s="2398"/>
      <c r="L542" s="2398"/>
      <c r="M542" s="2398"/>
      <c r="N542" s="2398"/>
      <c r="O542" s="2398"/>
      <c r="P542" s="2398"/>
      <c r="Q542" s="2398"/>
      <c r="R542" s="2398"/>
      <c r="S542" s="2398"/>
      <c r="T542" s="2398"/>
      <c r="U542" s="2398"/>
      <c r="V542" s="2398"/>
      <c r="W542" s="2398"/>
      <c r="X542" s="2398"/>
      <c r="Y542" s="2398"/>
      <c r="Z542" s="2398"/>
      <c r="AA542" s="2398"/>
      <c r="AB542" s="2398"/>
      <c r="AC542" s="2398"/>
      <c r="AD542" s="2398"/>
      <c r="AE542" s="2398"/>
      <c r="AF542" s="2398"/>
      <c r="AG542" s="2398"/>
      <c r="AH542" s="2398"/>
      <c r="AI542" s="2398"/>
      <c r="AJ542" s="2398"/>
      <c r="AK542" s="2398"/>
      <c r="AL542" s="2399"/>
      <c r="AM542" s="437"/>
      <c r="AN542" s="439"/>
    </row>
    <row r="543" spans="1:81" s="398" customFormat="1" ht="12.75" customHeight="1">
      <c r="A543" s="388"/>
      <c r="B543" s="388"/>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388"/>
      <c r="B544" s="636"/>
      <c r="C544" s="2372" t="s">
        <v>798</v>
      </c>
      <c r="D544" s="2372"/>
      <c r="E544" s="636"/>
      <c r="F544" s="482" t="s">
        <v>2436</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2350" t="s">
        <v>2437</v>
      </c>
      <c r="G545" s="2351"/>
      <c r="H545" s="2351"/>
      <c r="I545" s="2351"/>
      <c r="J545" s="2351"/>
      <c r="K545" s="2351"/>
      <c r="L545" s="2351"/>
      <c r="M545" s="2351"/>
      <c r="N545" s="2351"/>
      <c r="O545" s="2351"/>
      <c r="P545" s="2351"/>
      <c r="Q545" s="2351"/>
      <c r="R545" s="2351"/>
      <c r="S545" s="2351"/>
      <c r="T545" s="2351"/>
      <c r="U545" s="2351"/>
      <c r="V545" s="2351"/>
      <c r="W545" s="2351"/>
      <c r="X545" s="2351"/>
      <c r="Y545" s="2351"/>
      <c r="Z545" s="2351"/>
      <c r="AA545" s="2351"/>
      <c r="AB545" s="2351"/>
      <c r="AC545" s="2351"/>
      <c r="AD545" s="2351"/>
      <c r="AE545" s="2351"/>
      <c r="AF545" s="2351"/>
      <c r="AG545" s="2351"/>
      <c r="AH545" s="2351"/>
      <c r="AI545" s="2351"/>
      <c r="AJ545" s="2351"/>
      <c r="AK545" s="2351"/>
      <c r="AL545" s="2352"/>
      <c r="AM545" s="437"/>
      <c r="AN545" s="439"/>
      <c r="AS545" s="692"/>
      <c r="AT545" s="692"/>
      <c r="AU545" s="692"/>
      <c r="AV545" s="692"/>
      <c r="AW545" s="692"/>
    </row>
    <row r="546" spans="1:49" s="398" customFormat="1" ht="12.75" customHeight="1">
      <c r="B546" s="636"/>
      <c r="C546" s="636"/>
      <c r="D546" s="636"/>
      <c r="E546" s="636"/>
      <c r="F546" s="2350"/>
      <c r="G546" s="2351"/>
      <c r="H546" s="2351"/>
      <c r="I546" s="2351"/>
      <c r="J546" s="2351"/>
      <c r="K546" s="2351"/>
      <c r="L546" s="2351"/>
      <c r="M546" s="2351"/>
      <c r="N546" s="2351"/>
      <c r="O546" s="2351"/>
      <c r="P546" s="2351"/>
      <c r="Q546" s="2351"/>
      <c r="R546" s="2351"/>
      <c r="S546" s="2351"/>
      <c r="T546" s="2351"/>
      <c r="U546" s="2351"/>
      <c r="V546" s="2351"/>
      <c r="W546" s="2351"/>
      <c r="X546" s="2351"/>
      <c r="Y546" s="2351"/>
      <c r="Z546" s="2351"/>
      <c r="AA546" s="2351"/>
      <c r="AB546" s="2351"/>
      <c r="AC546" s="2351"/>
      <c r="AD546" s="2351"/>
      <c r="AE546" s="2351"/>
      <c r="AF546" s="2351"/>
      <c r="AG546" s="2351"/>
      <c r="AH546" s="2351"/>
      <c r="AI546" s="2351"/>
      <c r="AJ546" s="2351"/>
      <c r="AK546" s="2351"/>
      <c r="AL546" s="2352"/>
      <c r="AM546" s="437"/>
      <c r="AN546" s="439"/>
    </row>
    <row r="547" spans="1:49" s="398" customFormat="1" ht="12.75" customHeight="1">
      <c r="B547" s="636"/>
      <c r="C547" s="636"/>
      <c r="D547" s="636"/>
      <c r="E547" s="636"/>
      <c r="F547" s="641" t="s">
        <v>2438</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2350" t="s">
        <v>2439</v>
      </c>
      <c r="G548" s="2351"/>
      <c r="H548" s="2351"/>
      <c r="I548" s="2351"/>
      <c r="J548" s="2351"/>
      <c r="K548" s="2351"/>
      <c r="L548" s="2351"/>
      <c r="M548" s="2351"/>
      <c r="N548" s="2351"/>
      <c r="O548" s="2351"/>
      <c r="P548" s="2351"/>
      <c r="Q548" s="2351"/>
      <c r="R548" s="2351"/>
      <c r="S548" s="2351"/>
      <c r="T548" s="2351"/>
      <c r="U548" s="2351"/>
      <c r="V548" s="2351"/>
      <c r="W548" s="2351"/>
      <c r="X548" s="2351"/>
      <c r="Y548" s="2351"/>
      <c r="Z548" s="2351"/>
      <c r="AA548" s="2351"/>
      <c r="AB548" s="2351"/>
      <c r="AC548" s="2351"/>
      <c r="AD548" s="2351"/>
      <c r="AE548" s="2351"/>
      <c r="AF548" s="2351"/>
      <c r="AG548" s="2351"/>
      <c r="AH548" s="2351"/>
      <c r="AI548" s="2351"/>
      <c r="AJ548" s="2351"/>
      <c r="AK548" s="2351"/>
      <c r="AL548" s="643"/>
      <c r="AM548" s="437"/>
      <c r="AN548" s="439"/>
    </row>
    <row r="549" spans="1:49" s="398" customFormat="1" ht="12.75" customHeight="1">
      <c r="B549" s="636"/>
      <c r="C549" s="636"/>
      <c r="D549" s="636"/>
      <c r="E549" s="636"/>
      <c r="F549" s="2353"/>
      <c r="G549" s="2354"/>
      <c r="H549" s="2354"/>
      <c r="I549" s="2354"/>
      <c r="J549" s="2354"/>
      <c r="K549" s="2354"/>
      <c r="L549" s="2354"/>
      <c r="M549" s="2354"/>
      <c r="N549" s="2354"/>
      <c r="O549" s="2354"/>
      <c r="P549" s="2354"/>
      <c r="Q549" s="2354"/>
      <c r="R549" s="2354"/>
      <c r="S549" s="2354"/>
      <c r="T549" s="2354"/>
      <c r="U549" s="2354"/>
      <c r="V549" s="2354"/>
      <c r="W549" s="2354"/>
      <c r="X549" s="2354"/>
      <c r="Y549" s="2354"/>
      <c r="Z549" s="2354"/>
      <c r="AA549" s="2354"/>
      <c r="AB549" s="2354"/>
      <c r="AC549" s="2354"/>
      <c r="AD549" s="2354"/>
      <c r="AE549" s="2354"/>
      <c r="AF549" s="2354"/>
      <c r="AG549" s="2354"/>
      <c r="AH549" s="2354"/>
      <c r="AI549" s="2354"/>
      <c r="AJ549" s="2354"/>
      <c r="AK549" s="2354"/>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349">
        <f>Application!AJ992</f>
        <v>28599492</v>
      </c>
      <c r="AQ550" s="2349"/>
      <c r="AR550" s="2349"/>
      <c r="AS550" s="398" t="s">
        <v>2440</v>
      </c>
    </row>
    <row r="551" spans="1:49" s="398" customFormat="1" ht="12.75" customHeight="1">
      <c r="A551" s="350"/>
      <c r="B551" s="1139" t="s">
        <v>2441</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2355">
        <f>'Sources and Uses Budget'!S107+'Sources and Uses Budget'!T107</f>
        <v>40308711</v>
      </c>
      <c r="AG551" s="2355"/>
      <c r="AH551" s="2355"/>
      <c r="AI551" s="2355"/>
      <c r="AJ551" s="2355"/>
      <c r="AK551" s="437"/>
      <c r="AL551" s="437"/>
      <c r="AM551" s="437"/>
      <c r="AN551" s="439"/>
    </row>
    <row r="552" spans="1:49" s="398" customFormat="1" ht="12.75" customHeight="1">
      <c r="A552" s="465"/>
      <c r="B552" s="465" t="s">
        <v>2442</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356">
        <f>IFERROR(AP559,0)</f>
        <v>59289551.600000001</v>
      </c>
      <c r="AG552" s="2356"/>
      <c r="AH552" s="2356"/>
      <c r="AI552" s="2356"/>
      <c r="AJ552" s="2356"/>
      <c r="AK552" s="437"/>
      <c r="AL552" s="437"/>
      <c r="AM552" s="437"/>
      <c r="AN552" s="439"/>
      <c r="AP552" s="2349">
        <f>Application!AJ1045</f>
        <v>0</v>
      </c>
      <c r="AQ552" s="2349"/>
      <c r="AR552" s="2349"/>
      <c r="AS552" s="398" t="s">
        <v>1706</v>
      </c>
    </row>
    <row r="553" spans="1:49" s="398" customFormat="1" ht="12.75" customHeight="1">
      <c r="A553" s="464"/>
      <c r="B553" s="464" t="s">
        <v>1636</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357">
        <f>IFERROR(ROUNDDOWN(IF(C544="YES",((1-(AF551/AF552))*2),(1-(AF551/AF552))),2),0)</f>
        <v>0.32</v>
      </c>
      <c r="AG553" s="2357"/>
      <c r="AH553" s="2357"/>
      <c r="AI553" s="2357"/>
      <c r="AJ553" s="2357"/>
      <c r="AK553" s="437"/>
      <c r="AL553" s="437"/>
      <c r="AM553" s="437"/>
      <c r="AN553" s="439"/>
      <c r="AP553" s="2345">
        <f>Application!AJ1049</f>
        <v>27455512.32</v>
      </c>
      <c r="AQ553" s="2345"/>
      <c r="AR553" s="2345"/>
      <c r="AS553" s="398" t="s">
        <v>1716</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364">
        <f>IF(((AP552+AP553)/AP550)&gt;0.8,0.8,((AP552+AP553)/AP550))</f>
        <v>0.8</v>
      </c>
      <c r="AQ554" s="2364"/>
      <c r="AR554" s="2364"/>
      <c r="AS554" s="398" t="s">
        <v>2443</v>
      </c>
    </row>
    <row r="555" spans="1:49" s="398" customFormat="1" ht="12.75" customHeight="1">
      <c r="A555" s="464"/>
      <c r="B555" s="2431" t="s">
        <v>2444</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2432"/>
      <c r="AH555" s="2432"/>
      <c r="AI555" s="2432"/>
      <c r="AJ555" s="2433"/>
      <c r="AK555" s="437"/>
      <c r="AL555" s="437"/>
      <c r="AM555" s="437"/>
      <c r="AN555" s="439"/>
    </row>
    <row r="556" spans="1:49" s="398" customFormat="1" ht="12.75" customHeight="1">
      <c r="A556" s="464"/>
      <c r="B556" s="2434"/>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35"/>
      <c r="AH556" s="2435"/>
      <c r="AI556" s="2435"/>
      <c r="AJ556" s="2436"/>
      <c r="AK556" s="437"/>
      <c r="AL556" s="437"/>
      <c r="AM556" s="437"/>
      <c r="AN556" s="439"/>
      <c r="AP556" s="2349">
        <f>AP557-AP552-AP553</f>
        <v>36409958</v>
      </c>
      <c r="AQ556" s="2365"/>
      <c r="AR556" s="2365"/>
      <c r="AS556" s="398" t="s">
        <v>2445</v>
      </c>
    </row>
    <row r="557" spans="1:49" s="398" customFormat="1" ht="12.75" customHeight="1">
      <c r="A557" s="464"/>
      <c r="B557" s="2437"/>
      <c r="C557" s="2438"/>
      <c r="D557" s="2438"/>
      <c r="E557" s="2438"/>
      <c r="F557" s="2438"/>
      <c r="G557" s="2438"/>
      <c r="H557" s="2438"/>
      <c r="I557" s="2438"/>
      <c r="J557" s="2438"/>
      <c r="K557" s="2438"/>
      <c r="L557" s="2438"/>
      <c r="M557" s="2438"/>
      <c r="N557" s="2438"/>
      <c r="O557" s="2438"/>
      <c r="P557" s="2438"/>
      <c r="Q557" s="2438"/>
      <c r="R557" s="2438"/>
      <c r="S557" s="2438"/>
      <c r="T557" s="2438"/>
      <c r="U557" s="2438"/>
      <c r="V557" s="2438"/>
      <c r="W557" s="2438"/>
      <c r="X557" s="2438"/>
      <c r="Y557" s="2438"/>
      <c r="Z557" s="2438"/>
      <c r="AA557" s="2438"/>
      <c r="AB557" s="2438"/>
      <c r="AC557" s="2438"/>
      <c r="AD557" s="2438"/>
      <c r="AE557" s="2438"/>
      <c r="AF557" s="2438"/>
      <c r="AG557" s="2438"/>
      <c r="AH557" s="2438"/>
      <c r="AI557" s="2438"/>
      <c r="AJ557" s="2439"/>
      <c r="AK557" s="437"/>
      <c r="AL557" s="437"/>
      <c r="AM557" s="437"/>
      <c r="AN557" s="439"/>
      <c r="AP557" s="2349">
        <f>Application!AJ1053</f>
        <v>63865470.32</v>
      </c>
      <c r="AQ557" s="2349"/>
      <c r="AR557" s="2349"/>
      <c r="AS557" s="398" t="s">
        <v>2446</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187"/>
      <c r="AJ558" s="1187"/>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2447</v>
      </c>
      <c r="AK559" s="2440">
        <f>IFERROR(IF(AND(C541="N/A",C544="N/A"),0,IF(AF553=0,0,IF((AF553*100)&gt;12,12,(AF553*100)))),0)</f>
        <v>12</v>
      </c>
      <c r="AL559" s="2440"/>
      <c r="AM559" s="2441"/>
      <c r="AN559" s="439"/>
      <c r="AP559" s="2334">
        <f>AP556+(AP550*AP554)</f>
        <v>59289551.600000001</v>
      </c>
      <c r="AQ559" s="2335"/>
      <c r="AR559" s="2336"/>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2448</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2391" t="s">
        <v>2145</v>
      </c>
      <c r="AF562" s="2391"/>
      <c r="AG562" s="2391"/>
      <c r="AH562" s="2391"/>
      <c r="AI562" s="2391"/>
      <c r="AJ562" s="2391"/>
      <c r="AK562" s="2391"/>
      <c r="AL562" s="1204"/>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2351" t="s">
        <v>2449</v>
      </c>
      <c r="C564" s="2351"/>
      <c r="D564" s="2351"/>
      <c r="E564" s="2351"/>
      <c r="F564" s="2351"/>
      <c r="G564" s="2351"/>
      <c r="H564" s="2351"/>
      <c r="I564" s="2351"/>
      <c r="J564" s="2351"/>
      <c r="K564" s="2351"/>
      <c r="L564" s="2351"/>
      <c r="M564" s="2351"/>
      <c r="N564" s="2351"/>
      <c r="O564" s="2351"/>
      <c r="P564" s="2351"/>
      <c r="Q564" s="2351"/>
      <c r="R564" s="2351"/>
      <c r="S564" s="2351"/>
      <c r="T564" s="2351"/>
      <c r="U564" s="2351"/>
      <c r="V564" s="2351"/>
      <c r="W564" s="2351"/>
      <c r="X564" s="2351"/>
      <c r="Y564" s="2351"/>
      <c r="Z564" s="2351"/>
      <c r="AA564" s="2351"/>
      <c r="AB564" s="2351"/>
      <c r="AC564" s="2351"/>
      <c r="AD564" s="2351"/>
      <c r="AE564" s="2351"/>
      <c r="AF564" s="2351"/>
      <c r="AG564" s="2351"/>
      <c r="AH564" s="2351"/>
      <c r="AI564" s="2351"/>
      <c r="AJ564" s="2351"/>
      <c r="AK564" s="481"/>
      <c r="AL564" s="1207"/>
      <c r="AM564" s="445"/>
      <c r="AN564" s="439"/>
    </row>
    <row r="565" spans="1:42" s="398" customFormat="1" ht="12.75" customHeight="1">
      <c r="A565" s="445"/>
      <c r="B565" s="2351"/>
      <c r="C565" s="2351"/>
      <c r="D565" s="2351"/>
      <c r="E565" s="2351"/>
      <c r="F565" s="2351"/>
      <c r="G565" s="2351"/>
      <c r="H565" s="2351"/>
      <c r="I565" s="2351"/>
      <c r="J565" s="2351"/>
      <c r="K565" s="2351"/>
      <c r="L565" s="2351"/>
      <c r="M565" s="2351"/>
      <c r="N565" s="2351"/>
      <c r="O565" s="2351"/>
      <c r="P565" s="2351"/>
      <c r="Q565" s="2351"/>
      <c r="R565" s="2351"/>
      <c r="S565" s="2351"/>
      <c r="T565" s="2351"/>
      <c r="U565" s="2351"/>
      <c r="V565" s="2351"/>
      <c r="W565" s="2351"/>
      <c r="X565" s="2351"/>
      <c r="Y565" s="2351"/>
      <c r="Z565" s="2351"/>
      <c r="AA565" s="2351"/>
      <c r="AB565" s="2351"/>
      <c r="AC565" s="2351"/>
      <c r="AD565" s="2351"/>
      <c r="AE565" s="2351"/>
      <c r="AF565" s="2351"/>
      <c r="AG565" s="2351"/>
      <c r="AH565" s="2351"/>
      <c r="AI565" s="2351"/>
      <c r="AJ565" s="2351"/>
      <c r="AK565" s="481"/>
      <c r="AL565" s="1207"/>
      <c r="AM565" s="445"/>
      <c r="AN565" s="439"/>
    </row>
    <row r="566" spans="1:42" s="398" customFormat="1" ht="12.75" customHeight="1">
      <c r="A566" s="445"/>
      <c r="B566" s="2351"/>
      <c r="C566" s="2351"/>
      <c r="D566" s="2351"/>
      <c r="E566" s="2351"/>
      <c r="F566" s="2351"/>
      <c r="G566" s="2351"/>
      <c r="H566" s="2351"/>
      <c r="I566" s="2351"/>
      <c r="J566" s="2351"/>
      <c r="K566" s="2351"/>
      <c r="L566" s="2351"/>
      <c r="M566" s="2351"/>
      <c r="N566" s="2351"/>
      <c r="O566" s="2351"/>
      <c r="P566" s="2351"/>
      <c r="Q566" s="2351"/>
      <c r="R566" s="2351"/>
      <c r="S566" s="2351"/>
      <c r="T566" s="2351"/>
      <c r="U566" s="2351"/>
      <c r="V566" s="2351"/>
      <c r="W566" s="2351"/>
      <c r="X566" s="2351"/>
      <c r="Y566" s="2351"/>
      <c r="Z566" s="2351"/>
      <c r="AA566" s="2351"/>
      <c r="AB566" s="2351"/>
      <c r="AC566" s="2351"/>
      <c r="AD566" s="2351"/>
      <c r="AE566" s="2351"/>
      <c r="AF566" s="2351"/>
      <c r="AG566" s="2351"/>
      <c r="AH566" s="2351"/>
      <c r="AI566" s="2351"/>
      <c r="AJ566" s="2351"/>
      <c r="AK566" s="481"/>
      <c r="AL566" s="1207"/>
      <c r="AM566" s="445"/>
      <c r="AN566" s="439"/>
    </row>
    <row r="567" spans="1:42" s="398" customFormat="1" ht="12.75" customHeight="1">
      <c r="A567" s="445"/>
      <c r="B567" s="2351"/>
      <c r="C567" s="2351"/>
      <c r="D567" s="2351"/>
      <c r="E567" s="2351"/>
      <c r="F567" s="2351"/>
      <c r="G567" s="2351"/>
      <c r="H567" s="2351"/>
      <c r="I567" s="2351"/>
      <c r="J567" s="2351"/>
      <c r="K567" s="2351"/>
      <c r="L567" s="2351"/>
      <c r="M567" s="2351"/>
      <c r="N567" s="2351"/>
      <c r="O567" s="2351"/>
      <c r="P567" s="2351"/>
      <c r="Q567" s="2351"/>
      <c r="R567" s="2351"/>
      <c r="S567" s="2351"/>
      <c r="T567" s="2351"/>
      <c r="U567" s="2351"/>
      <c r="V567" s="2351"/>
      <c r="W567" s="2351"/>
      <c r="X567" s="2351"/>
      <c r="Y567" s="2351"/>
      <c r="Z567" s="2351"/>
      <c r="AA567" s="2351"/>
      <c r="AB567" s="2351"/>
      <c r="AC567" s="2351"/>
      <c r="AD567" s="2351"/>
      <c r="AE567" s="2351"/>
      <c r="AF567" s="2351"/>
      <c r="AG567" s="2351"/>
      <c r="AH567" s="2351"/>
      <c r="AI567" s="2351"/>
      <c r="AJ567" s="2351"/>
      <c r="AK567" s="481"/>
      <c r="AL567" s="1207"/>
      <c r="AM567" s="445"/>
      <c r="AN567" s="439"/>
    </row>
    <row r="568" spans="1:42" s="398" customFormat="1" ht="12.75" customHeight="1">
      <c r="A568" s="445"/>
      <c r="B568" s="2351"/>
      <c r="C568" s="2351"/>
      <c r="D568" s="2351"/>
      <c r="E568" s="2351"/>
      <c r="F568" s="2351"/>
      <c r="G568" s="2351"/>
      <c r="H568" s="2351"/>
      <c r="I568" s="2351"/>
      <c r="J568" s="2351"/>
      <c r="K568" s="2351"/>
      <c r="L568" s="2351"/>
      <c r="M568" s="2351"/>
      <c r="N568" s="2351"/>
      <c r="O568" s="2351"/>
      <c r="P568" s="2351"/>
      <c r="Q568" s="2351"/>
      <c r="R568" s="2351"/>
      <c r="S568" s="2351"/>
      <c r="T568" s="2351"/>
      <c r="U568" s="2351"/>
      <c r="V568" s="2351"/>
      <c r="W568" s="2351"/>
      <c r="X568" s="2351"/>
      <c r="Y568" s="2351"/>
      <c r="Z568" s="2351"/>
      <c r="AA568" s="2351"/>
      <c r="AB568" s="2351"/>
      <c r="AC568" s="2351"/>
      <c r="AD568" s="2351"/>
      <c r="AE568" s="2351"/>
      <c r="AF568" s="2351"/>
      <c r="AG568" s="2351"/>
      <c r="AH568" s="2351"/>
      <c r="AI568" s="2351"/>
      <c r="AJ568" s="2351"/>
      <c r="AK568" s="481"/>
      <c r="AL568" s="1207"/>
      <c r="AM568" s="445"/>
      <c r="AN568" s="439"/>
    </row>
    <row r="569" spans="1:42" s="398" customFormat="1" ht="12.75" customHeight="1">
      <c r="A569" s="445"/>
      <c r="B569" s="2351"/>
      <c r="C569" s="2351"/>
      <c r="D569" s="2351"/>
      <c r="E569" s="2351"/>
      <c r="F569" s="2351"/>
      <c r="G569" s="2351"/>
      <c r="H569" s="2351"/>
      <c r="I569" s="2351"/>
      <c r="J569" s="2351"/>
      <c r="K569" s="2351"/>
      <c r="L569" s="2351"/>
      <c r="M569" s="2351"/>
      <c r="N569" s="2351"/>
      <c r="O569" s="2351"/>
      <c r="P569" s="2351"/>
      <c r="Q569" s="2351"/>
      <c r="R569" s="2351"/>
      <c r="S569" s="2351"/>
      <c r="T569" s="2351"/>
      <c r="U569" s="2351"/>
      <c r="V569" s="2351"/>
      <c r="W569" s="2351"/>
      <c r="X569" s="2351"/>
      <c r="Y569" s="2351"/>
      <c r="Z569" s="2351"/>
      <c r="AA569" s="2351"/>
      <c r="AB569" s="2351"/>
      <c r="AC569" s="2351"/>
      <c r="AD569" s="2351"/>
      <c r="AE569" s="2351"/>
      <c r="AF569" s="2351"/>
      <c r="AG569" s="2351"/>
      <c r="AH569" s="2351"/>
      <c r="AI569" s="2351"/>
      <c r="AJ569" s="2351"/>
      <c r="AK569" s="481"/>
      <c r="AL569" s="1207"/>
      <c r="AM569" s="445"/>
      <c r="AN569" s="439"/>
    </row>
    <row r="570" spans="1:42" s="398" customFormat="1" ht="12.75" customHeight="1">
      <c r="A570" s="445"/>
      <c r="B570" s="2351"/>
      <c r="C570" s="2351"/>
      <c r="D570" s="2351"/>
      <c r="E570" s="2351"/>
      <c r="F570" s="2351"/>
      <c r="G570" s="2351"/>
      <c r="H570" s="2351"/>
      <c r="I570" s="2351"/>
      <c r="J570" s="2351"/>
      <c r="K570" s="2351"/>
      <c r="L570" s="2351"/>
      <c r="M570" s="2351"/>
      <c r="N570" s="2351"/>
      <c r="O570" s="2351"/>
      <c r="P570" s="2351"/>
      <c r="Q570" s="2351"/>
      <c r="R570" s="2351"/>
      <c r="S570" s="2351"/>
      <c r="T570" s="2351"/>
      <c r="U570" s="2351"/>
      <c r="V570" s="2351"/>
      <c r="W570" s="2351"/>
      <c r="X570" s="2351"/>
      <c r="Y570" s="2351"/>
      <c r="Z570" s="2351"/>
      <c r="AA570" s="2351"/>
      <c r="AB570" s="2351"/>
      <c r="AC570" s="2351"/>
      <c r="AD570" s="2351"/>
      <c r="AE570" s="2351"/>
      <c r="AF570" s="2351"/>
      <c r="AG570" s="2351"/>
      <c r="AH570" s="2351"/>
      <c r="AI570" s="2351"/>
      <c r="AJ570" s="2351"/>
      <c r="AK570" s="481"/>
      <c r="AL570" s="1207"/>
      <c r="AM570" s="445"/>
      <c r="AN570" s="439"/>
    </row>
    <row r="571" spans="1:42" ht="12.75" customHeight="1">
      <c r="A571" s="445"/>
      <c r="B571" s="2351"/>
      <c r="C571" s="2351"/>
      <c r="D571" s="2351"/>
      <c r="E571" s="2351"/>
      <c r="F571" s="2351"/>
      <c r="G571" s="2351"/>
      <c r="H571" s="2351"/>
      <c r="I571" s="2351"/>
      <c r="J571" s="2351"/>
      <c r="K571" s="2351"/>
      <c r="L571" s="2351"/>
      <c r="M571" s="2351"/>
      <c r="N571" s="2351"/>
      <c r="O571" s="2351"/>
      <c r="P571" s="2351"/>
      <c r="Q571" s="2351"/>
      <c r="R571" s="2351"/>
      <c r="S571" s="2351"/>
      <c r="T571" s="2351"/>
      <c r="U571" s="2351"/>
      <c r="V571" s="2351"/>
      <c r="W571" s="2351"/>
      <c r="X571" s="2351"/>
      <c r="Y571" s="2351"/>
      <c r="Z571" s="2351"/>
      <c r="AA571" s="2351"/>
      <c r="AB571" s="2351"/>
      <c r="AC571" s="2351"/>
      <c r="AD571" s="2351"/>
      <c r="AE571" s="2351"/>
      <c r="AF571" s="2351"/>
      <c r="AG571" s="2351"/>
      <c r="AH571" s="2351"/>
      <c r="AI571" s="2351"/>
      <c r="AJ571" s="2351"/>
      <c r="AK571" s="481"/>
      <c r="AL571" s="1207"/>
      <c r="AM571" s="445"/>
    </row>
    <row r="572" spans="1:42" s="398" customFormat="1" ht="12.75" customHeight="1">
      <c r="B572" s="2351"/>
      <c r="C572" s="2351"/>
      <c r="D572" s="2351"/>
      <c r="E572" s="2351"/>
      <c r="F572" s="2351"/>
      <c r="G572" s="2351"/>
      <c r="H572" s="2351"/>
      <c r="I572" s="2351"/>
      <c r="J572" s="2351"/>
      <c r="K572" s="2351"/>
      <c r="L572" s="2351"/>
      <c r="M572" s="2351"/>
      <c r="N572" s="2351"/>
      <c r="O572" s="2351"/>
      <c r="P572" s="2351"/>
      <c r="Q572" s="2351"/>
      <c r="R572" s="2351"/>
      <c r="S572" s="2351"/>
      <c r="T572" s="2351"/>
      <c r="U572" s="2351"/>
      <c r="V572" s="2351"/>
      <c r="W572" s="2351"/>
      <c r="X572" s="2351"/>
      <c r="Y572" s="2351"/>
      <c r="Z572" s="2351"/>
      <c r="AA572" s="2351"/>
      <c r="AB572" s="2351"/>
      <c r="AC572" s="2351"/>
      <c r="AD572" s="2351"/>
      <c r="AE572" s="2351"/>
      <c r="AF572" s="2351"/>
      <c r="AG572" s="2351"/>
      <c r="AH572" s="2351"/>
      <c r="AI572" s="2351"/>
      <c r="AJ572" s="2351"/>
      <c r="AK572" s="481"/>
      <c r="AL572" s="1207"/>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207"/>
      <c r="AN573" s="439"/>
    </row>
    <row r="574" spans="1:42" s="398" customFormat="1" ht="12.75" customHeight="1">
      <c r="B574" s="500" t="s">
        <v>2450</v>
      </c>
      <c r="C574" s="508"/>
      <c r="D574" s="1207"/>
      <c r="E574" s="1207"/>
      <c r="F574" s="1207"/>
      <c r="G574" s="1207"/>
      <c r="H574" s="1207"/>
      <c r="I574" s="1207"/>
      <c r="J574" s="1207"/>
      <c r="K574" s="1207"/>
      <c r="L574" s="1207"/>
      <c r="M574" s="1207"/>
      <c r="N574" s="1207"/>
      <c r="O574" s="1207"/>
      <c r="P574" s="1207"/>
      <c r="Q574" s="1207"/>
      <c r="R574" s="1207"/>
      <c r="S574" s="1207"/>
      <c r="T574" s="1207"/>
      <c r="U574" s="1207"/>
      <c r="V574" s="1207"/>
      <c r="W574" s="1207"/>
      <c r="X574" s="1207"/>
      <c r="Y574" s="1207"/>
      <c r="Z574" s="1207"/>
      <c r="AA574" s="1207"/>
      <c r="AB574" s="1207"/>
      <c r="AC574" s="1207"/>
      <c r="AD574" s="1207"/>
      <c r="AE574" s="1207"/>
      <c r="AF574" s="1207"/>
      <c r="AG574" s="1207"/>
      <c r="AH574" s="1207"/>
      <c r="AI574" s="1207"/>
      <c r="AN574" s="439"/>
      <c r="AP574" s="398" t="s">
        <v>798</v>
      </c>
    </row>
    <row r="575" spans="1:42" s="398" customFormat="1" ht="12.75" customHeight="1">
      <c r="B575" s="385"/>
      <c r="C575" s="508"/>
      <c r="D575" s="1207"/>
      <c r="E575" s="1207"/>
      <c r="F575" s="1207"/>
      <c r="G575" s="1207"/>
      <c r="H575" s="1207"/>
      <c r="I575" s="1207"/>
      <c r="J575" s="1207"/>
      <c r="K575" s="1207"/>
      <c r="L575" s="1207"/>
      <c r="M575" s="1207"/>
      <c r="N575" s="1207"/>
      <c r="O575" s="1207"/>
      <c r="P575" s="1207"/>
      <c r="Q575" s="1207"/>
      <c r="R575" s="1207"/>
      <c r="S575" s="1207"/>
      <c r="T575" s="1207"/>
      <c r="U575" s="1207"/>
      <c r="V575" s="1207"/>
      <c r="W575" s="1207"/>
      <c r="X575" s="1207"/>
      <c r="Y575" s="1207"/>
      <c r="Z575" s="1207"/>
      <c r="AA575" s="1207"/>
      <c r="AB575" s="1207"/>
      <c r="AC575" s="1207"/>
      <c r="AD575" s="1207"/>
      <c r="AE575" s="1207"/>
      <c r="AF575" s="1207"/>
      <c r="AG575" s="1207"/>
      <c r="AH575" s="1207"/>
      <c r="AI575" s="1207"/>
      <c r="AN575" s="439"/>
      <c r="AP575" s="398" t="s">
        <v>847</v>
      </c>
    </row>
    <row r="576" spans="1:42" s="398" customFormat="1" ht="12.75" customHeight="1">
      <c r="C576" s="388" t="s">
        <v>2451</v>
      </c>
      <c r="D576" s="509"/>
      <c r="E576" s="1207"/>
      <c r="F576" s="1207"/>
      <c r="G576" s="1207"/>
      <c r="H576" s="1207"/>
      <c r="I576" s="1207"/>
      <c r="J576" s="1207"/>
      <c r="K576" s="1207"/>
      <c r="L576" s="1207"/>
      <c r="M576" s="1207"/>
      <c r="N576" s="1207"/>
      <c r="O576" s="1207"/>
      <c r="P576" s="1207"/>
      <c r="Q576" s="1207"/>
      <c r="R576" s="1207"/>
      <c r="S576" s="1207"/>
      <c r="T576" s="1207"/>
      <c r="U576" s="1207"/>
      <c r="V576" s="1207"/>
      <c r="W576" s="1207"/>
      <c r="X576" s="1207"/>
      <c r="Y576" s="1207"/>
      <c r="Z576" s="1207"/>
      <c r="AA576" s="1207"/>
      <c r="AB576" s="1207"/>
      <c r="AC576" s="1207"/>
      <c r="AD576" s="1207"/>
      <c r="AE576" s="1207"/>
      <c r="AF576" s="1207"/>
      <c r="AG576" s="1207"/>
      <c r="AH576" s="1207"/>
      <c r="AI576" s="1207"/>
      <c r="AN576" s="439"/>
    </row>
    <row r="577" spans="1:42" s="398" customFormat="1" ht="12.75" customHeight="1">
      <c r="B577" s="385"/>
      <c r="C577" s="385"/>
      <c r="D577" s="1197"/>
      <c r="E577" s="1200"/>
      <c r="F577" s="1200"/>
      <c r="G577" s="1200"/>
      <c r="H577" s="1200"/>
      <c r="I577" s="1200"/>
      <c r="J577" s="1200"/>
      <c r="K577" s="1200"/>
      <c r="L577" s="1200"/>
      <c r="M577" s="1200"/>
      <c r="N577" s="1200"/>
      <c r="O577" s="1200"/>
      <c r="P577" s="1200"/>
      <c r="Q577" s="1200"/>
      <c r="R577" s="1200"/>
      <c r="S577" s="1200"/>
      <c r="T577" s="1200"/>
      <c r="U577" s="1200"/>
      <c r="V577" s="1200"/>
      <c r="W577" s="1200"/>
      <c r="X577" s="1200"/>
      <c r="Y577" s="1200"/>
      <c r="Z577" s="1200"/>
      <c r="AA577" s="1200"/>
      <c r="AB577" s="1200"/>
      <c r="AC577" s="1200"/>
      <c r="AD577" s="1200"/>
      <c r="AE577" s="1200"/>
      <c r="AF577" s="385"/>
      <c r="AG577" s="385"/>
      <c r="AH577" s="385"/>
      <c r="AI577" s="385"/>
      <c r="AJ577" s="385"/>
      <c r="AK577" s="385"/>
      <c r="AL577" s="385"/>
      <c r="AN577" s="439"/>
    </row>
    <row r="578" spans="1:42" s="398" customFormat="1" ht="12.75" customHeight="1">
      <c r="B578" s="385"/>
      <c r="C578" s="385"/>
      <c r="D578" s="500" t="s">
        <v>22</v>
      </c>
      <c r="E578" s="663" t="s">
        <v>2452</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2451" t="s">
        <v>2190</v>
      </c>
      <c r="AG578" s="2451"/>
      <c r="AH578" s="2451"/>
      <c r="AI578" s="2451"/>
      <c r="AJ578" s="2451"/>
      <c r="AK578" s="2451"/>
      <c r="AL578" s="2451"/>
      <c r="AN578" s="439"/>
    </row>
    <row r="579" spans="1:42" s="398" customFormat="1" ht="12.75" customHeight="1">
      <c r="B579" s="385"/>
      <c r="C579" s="456"/>
      <c r="D579" s="500"/>
      <c r="E579" s="663" t="s">
        <v>2453</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2454</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2455</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2456</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2457</v>
      </c>
      <c r="AP582" s="398" t="b">
        <f>IF(Application!AF418&gt;=25,TRUE,FALSE)</f>
        <v>0</v>
      </c>
    </row>
    <row r="583" spans="1:42" s="398" customFormat="1" ht="12.75" customHeight="1">
      <c r="B583" s="385"/>
      <c r="C583" s="456"/>
      <c r="D583" s="500"/>
      <c r="E583" s="663" t="s">
        <v>2458</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2459</v>
      </c>
      <c r="AP583" s="398" t="b">
        <f>Application!T199="Yes"</f>
        <v>1</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2460</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2451" t="s">
        <v>2461</v>
      </c>
      <c r="AG585" s="2451"/>
      <c r="AH585" s="2451"/>
      <c r="AI585" s="2451"/>
      <c r="AJ585" s="2451"/>
      <c r="AK585" s="2451"/>
      <c r="AL585" s="2451"/>
      <c r="AN585" s="439"/>
    </row>
    <row r="586" spans="1:42" s="398" customFormat="1" ht="12.75" customHeight="1">
      <c r="B586" s="385"/>
      <c r="C586" s="737"/>
      <c r="D586" s="500"/>
      <c r="E586" s="663" t="s">
        <v>2462</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798</v>
      </c>
      <c r="AP586" s="510">
        <v>0</v>
      </c>
    </row>
    <row r="587" spans="1:42" s="398" customFormat="1" ht="12.75" customHeight="1">
      <c r="B587" s="451"/>
      <c r="C587" s="735"/>
      <c r="D587" s="500"/>
      <c r="E587" s="663" t="s">
        <v>2463</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0</v>
      </c>
    </row>
    <row r="588" spans="1:42" s="398" customFormat="1" ht="12.75" customHeight="1">
      <c r="B588" s="451"/>
      <c r="C588" s="735"/>
      <c r="D588" s="500"/>
      <c r="E588" s="663" t="s">
        <v>2464</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2465</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2466</v>
      </c>
      <c r="AP590" s="398">
        <v>4</v>
      </c>
    </row>
    <row r="591" spans="1:42" s="398" customFormat="1" ht="12.75" customHeight="1">
      <c r="B591" s="385"/>
      <c r="C591" s="735"/>
      <c r="D591" s="500" t="s">
        <v>49</v>
      </c>
      <c r="E591" s="663" t="s">
        <v>2467</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2451" t="s">
        <v>2468</v>
      </c>
      <c r="AG591" s="2451"/>
      <c r="AH591" s="2451"/>
      <c r="AI591" s="2451"/>
      <c r="AJ591" s="2451"/>
      <c r="AK591" s="2451"/>
      <c r="AL591" s="2451"/>
      <c r="AN591" s="439"/>
      <c r="AO591" s="452" t="s">
        <v>2469</v>
      </c>
      <c r="AP591" s="398">
        <v>3</v>
      </c>
    </row>
    <row r="592" spans="1:42" s="398" customFormat="1" ht="12.75" customHeight="1">
      <c r="B592" s="385"/>
      <c r="C592" s="737"/>
      <c r="D592" s="500"/>
      <c r="E592" s="663" t="s">
        <v>2462</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2463</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2470</v>
      </c>
    </row>
    <row r="594" spans="1:53" s="398" customFormat="1" ht="12.75" customHeight="1">
      <c r="B594" s="385"/>
      <c r="C594" s="737"/>
      <c r="D594" s="500"/>
      <c r="E594" s="663" t="s">
        <v>2464</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2471</v>
      </c>
    </row>
    <row r="595" spans="1:53" s="398" customFormat="1" ht="12.75" customHeight="1">
      <c r="B595" s="385"/>
      <c r="C595" s="737"/>
      <c r="D595" s="500"/>
      <c r="E595" s="663" t="s">
        <v>2465</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2472</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2466</v>
      </c>
      <c r="E597" s="663" t="s">
        <v>2473</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2451" t="s">
        <v>2474</v>
      </c>
      <c r="AG597" s="2451"/>
      <c r="AH597" s="2451"/>
      <c r="AI597" s="2451"/>
      <c r="AJ597" s="2451"/>
      <c r="AK597" s="2451"/>
      <c r="AL597" s="2451"/>
      <c r="AN597" s="439"/>
      <c r="AO597" s="398" t="str">
        <f>X634</f>
        <v>N/A</v>
      </c>
    </row>
    <row r="598" spans="1:53" s="398" customFormat="1" ht="12.75" customHeight="1">
      <c r="B598" s="385"/>
      <c r="C598" s="737"/>
      <c r="D598" s="500"/>
      <c r="E598" s="663" t="s">
        <v>2475</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193"/>
      <c r="AV598" s="1193"/>
      <c r="AW598" s="1193"/>
      <c r="AX598" s="1193"/>
      <c r="AY598" s="1193"/>
      <c r="AZ598" s="1193"/>
      <c r="BA598" s="1193"/>
    </row>
    <row r="599" spans="1:53" s="398" customFormat="1" ht="12.75" customHeight="1">
      <c r="B599" s="451"/>
      <c r="C599" s="735"/>
      <c r="D599" s="500"/>
      <c r="E599" s="663" t="s">
        <v>2476</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2477</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2478</v>
      </c>
    </row>
    <row r="601" spans="1:53" s="398" customFormat="1" ht="12.75" customHeight="1">
      <c r="B601" s="451"/>
      <c r="C601" s="735"/>
      <c r="D601" s="500"/>
      <c r="E601" s="385" t="s">
        <v>2479</v>
      </c>
      <c r="O601" s="2467" t="s">
        <v>1003</v>
      </c>
      <c r="P601" s="2467"/>
      <c r="Q601" s="2467"/>
      <c r="R601" s="2467"/>
      <c r="S601" s="2467"/>
      <c r="T601" s="2467"/>
      <c r="U601" s="2467"/>
      <c r="V601" s="2467"/>
      <c r="W601" s="2467"/>
      <c r="X601" s="2467"/>
      <c r="Y601" s="2467"/>
      <c r="Z601" s="2467"/>
      <c r="AA601" s="2467"/>
      <c r="AB601" s="2467"/>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2469</v>
      </c>
      <c r="E603" s="663" t="s">
        <v>2480</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2451" t="s">
        <v>2206</v>
      </c>
      <c r="AG603" s="2451"/>
      <c r="AH603" s="2451"/>
      <c r="AI603" s="2451"/>
      <c r="AJ603" s="2451"/>
      <c r="AK603" s="2451"/>
      <c r="AL603" s="2451"/>
      <c r="AN603" s="439"/>
    </row>
    <row r="604" spans="1:53" s="398" customFormat="1" ht="12.75" customHeight="1">
      <c r="B604" s="385"/>
      <c r="C604" s="735"/>
      <c r="D604" s="500"/>
      <c r="E604" s="663" t="s">
        <v>2481</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193"/>
      <c r="AF604" s="385"/>
      <c r="AG604" s="385"/>
      <c r="AH604" s="385"/>
      <c r="AI604" s="385"/>
      <c r="AJ604" s="385"/>
      <c r="AK604" s="385"/>
      <c r="AL604" s="385"/>
      <c r="AN604" s="439"/>
    </row>
    <row r="605" spans="1:53" s="398" customFormat="1" ht="12.75" customHeight="1">
      <c r="B605" s="385"/>
      <c r="C605" s="737"/>
      <c r="D605" s="385"/>
      <c r="E605" s="456"/>
      <c r="F605" s="1212"/>
      <c r="G605" s="1212"/>
      <c r="H605" s="1212"/>
      <c r="I605" s="1212"/>
      <c r="J605" s="1212"/>
      <c r="K605" s="1212"/>
      <c r="L605" s="1212"/>
      <c r="M605" s="1212"/>
      <c r="N605" s="1212"/>
      <c r="O605" s="1212"/>
      <c r="P605" s="1212"/>
      <c r="Q605" s="1212"/>
      <c r="R605" s="1212"/>
      <c r="S605" s="1212"/>
      <c r="T605" s="1212"/>
      <c r="U605" s="1212"/>
      <c r="V605" s="1212"/>
      <c r="W605" s="1212"/>
      <c r="X605" s="1212"/>
      <c r="Y605" s="1212"/>
      <c r="Z605" s="1212"/>
      <c r="AA605" s="1212"/>
      <c r="AB605" s="1212"/>
      <c r="AC605" s="385"/>
      <c r="AD605" s="385"/>
      <c r="AE605" s="385"/>
      <c r="AF605" s="385"/>
      <c r="AG605" s="385"/>
      <c r="AH605" s="385"/>
      <c r="AI605" s="385"/>
      <c r="AJ605" s="385"/>
      <c r="AK605" s="385"/>
      <c r="AL605" s="385"/>
      <c r="AN605" s="439"/>
      <c r="AO605" s="398" t="s">
        <v>798</v>
      </c>
      <c r="AP605" s="510">
        <v>0</v>
      </c>
      <c r="AT605" s="398" t="s">
        <v>798</v>
      </c>
      <c r="AU605" s="510">
        <v>0</v>
      </c>
    </row>
    <row r="606" spans="1:53" s="398" customFormat="1" ht="12.75" customHeight="1">
      <c r="B606" s="385"/>
      <c r="C606" s="737"/>
      <c r="D606" s="385" t="s">
        <v>2482</v>
      </c>
      <c r="E606" s="1212"/>
      <c r="F606" s="1212"/>
      <c r="G606" s="1212"/>
      <c r="H606" s="2375" t="s">
        <v>2469</v>
      </c>
      <c r="I606" s="2375"/>
      <c r="J606" s="1212"/>
      <c r="K606" s="1212"/>
      <c r="L606" s="1212"/>
      <c r="N606" s="17"/>
      <c r="O606" s="17"/>
      <c r="P606" s="17"/>
      <c r="Q606" s="934" t="s">
        <v>2483</v>
      </c>
      <c r="R606" s="2468"/>
      <c r="S606" s="2468"/>
      <c r="T606" s="2468"/>
      <c r="U606" s="2468"/>
      <c r="V606" s="2468"/>
      <c r="W606" s="2468"/>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212"/>
      <c r="F607" s="1212"/>
      <c r="G607" s="1212"/>
      <c r="H607" s="1212"/>
      <c r="I607" s="1212"/>
      <c r="J607" s="1212"/>
      <c r="K607" s="1212"/>
      <c r="L607" s="1212"/>
      <c r="M607" s="1212"/>
      <c r="N607" s="385"/>
      <c r="O607" s="385"/>
      <c r="P607" s="385"/>
      <c r="Q607" s="385"/>
      <c r="R607" s="385"/>
      <c r="S607" s="385"/>
      <c r="T607" s="385"/>
      <c r="U607" s="385"/>
      <c r="V607" s="385"/>
      <c r="W607" s="385"/>
      <c r="X607" s="385"/>
      <c r="Y607" s="2469" t="str">
        <f>IF(AND(H606="(i)",NOT(AP582)),AO599,IF(AND(H606="(iv)",OR(R606=AO595,R606=AO594),NOT(AP583)),AO600,""))</f>
        <v/>
      </c>
      <c r="Z607" s="2469"/>
      <c r="AA607" s="2469"/>
      <c r="AB607" s="2469"/>
      <c r="AC607" s="2469"/>
      <c r="AD607" s="2469"/>
      <c r="AE607" s="2469"/>
      <c r="AF607" s="2469"/>
      <c r="AG607" s="2469"/>
      <c r="AH607" s="2469"/>
      <c r="AI607" s="2469"/>
      <c r="AJ607" s="2469"/>
      <c r="AK607" s="2469"/>
      <c r="AL607" s="2469"/>
      <c r="AM607" s="2470"/>
      <c r="AN607" s="439"/>
      <c r="AO607" s="452" t="s">
        <v>27</v>
      </c>
      <c r="AP607" s="398">
        <v>2</v>
      </c>
      <c r="AT607" s="452" t="s">
        <v>27</v>
      </c>
      <c r="AU607" s="398">
        <v>2</v>
      </c>
    </row>
    <row r="608" spans="1:53" s="398" customFormat="1" ht="12.75" customHeight="1">
      <c r="B608" s="385"/>
      <c r="C608" s="737"/>
      <c r="D608" s="385"/>
      <c r="E608" s="1212"/>
      <c r="F608" s="1212"/>
      <c r="G608" s="1212"/>
      <c r="H608" s="1212"/>
      <c r="I608" s="1212"/>
      <c r="J608" s="1212"/>
      <c r="K608" s="1212"/>
      <c r="L608" s="1212"/>
      <c r="M608" s="1212"/>
      <c r="N608" s="385"/>
      <c r="O608" s="385"/>
      <c r="P608" s="385"/>
      <c r="Q608" s="385"/>
      <c r="X608" s="385"/>
      <c r="Y608" s="2469"/>
      <c r="Z608" s="2469"/>
      <c r="AA608" s="2469"/>
      <c r="AB608" s="2469"/>
      <c r="AC608" s="2469"/>
      <c r="AD608" s="2469"/>
      <c r="AE608" s="2469"/>
      <c r="AF608" s="2469"/>
      <c r="AG608" s="2469"/>
      <c r="AH608" s="2469"/>
      <c r="AI608" s="2469"/>
      <c r="AJ608" s="2469"/>
      <c r="AK608" s="2469"/>
      <c r="AL608" s="2469"/>
      <c r="AM608" s="2470"/>
      <c r="AN608" s="439"/>
      <c r="AO608" s="452"/>
      <c r="AT608" s="452"/>
    </row>
    <row r="609" spans="1:42" s="398" customFormat="1" ht="12.75" customHeight="1">
      <c r="B609" s="385"/>
      <c r="C609" s="737"/>
      <c r="D609" s="385" t="s">
        <v>2484</v>
      </c>
      <c r="E609" s="1212"/>
      <c r="F609" s="1212"/>
      <c r="G609" s="1212"/>
      <c r="H609" s="1212"/>
      <c r="I609" s="1212"/>
      <c r="J609" s="1212"/>
      <c r="K609" s="1212"/>
      <c r="L609" s="1212"/>
      <c r="M609" s="1212"/>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2485</v>
      </c>
      <c r="E610" s="1212"/>
      <c r="F610" s="1212"/>
      <c r="G610" s="1212"/>
      <c r="H610" s="1212"/>
      <c r="I610" s="1212"/>
      <c r="J610" s="1212"/>
      <c r="K610" s="1212"/>
      <c r="L610" s="1212"/>
      <c r="M610" s="1212"/>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2486</v>
      </c>
      <c r="E611" s="1212"/>
      <c r="F611" s="1212"/>
      <c r="G611" s="1212"/>
      <c r="H611" s="1212"/>
      <c r="I611" s="1212"/>
      <c r="J611" s="1212"/>
      <c r="K611" s="1212"/>
      <c r="L611" s="1212"/>
      <c r="M611" s="1212"/>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96" t="s">
        <v>2487</v>
      </c>
      <c r="E612" s="1212"/>
      <c r="F612" s="1212"/>
      <c r="G612" s="1212"/>
      <c r="H612" s="1212"/>
      <c r="I612" s="1212"/>
      <c r="J612" s="1212"/>
      <c r="K612" s="1212"/>
      <c r="L612" s="1212"/>
      <c r="M612" s="1212"/>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798</v>
      </c>
      <c r="AP613" s="510">
        <v>0</v>
      </c>
    </row>
    <row r="614" spans="1:42" s="398" customFormat="1" ht="12.75" customHeight="1">
      <c r="B614" s="385"/>
      <c r="C614" s="737"/>
      <c r="D614" s="385"/>
      <c r="E614" s="385" t="s">
        <v>2482</v>
      </c>
      <c r="F614" s="1212"/>
      <c r="G614" s="1212"/>
      <c r="I614" s="2466" t="s">
        <v>798</v>
      </c>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2466"/>
      <c r="AF614" s="385"/>
      <c r="AG614" s="385"/>
      <c r="AH614" s="385"/>
      <c r="AI614" s="385"/>
      <c r="AJ614" s="385"/>
      <c r="AK614" s="385"/>
      <c r="AL614" s="385"/>
      <c r="AN614" s="439"/>
      <c r="AO614" s="398" t="s">
        <v>2488</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2489</v>
      </c>
      <c r="AP615" s="398">
        <v>2</v>
      </c>
    </row>
    <row r="616" spans="1:42" s="398" customFormat="1" ht="12.75" customHeight="1">
      <c r="B616" s="2323" t="s">
        <v>798</v>
      </c>
      <c r="C616" s="2323"/>
      <c r="D616" s="481"/>
      <c r="E616" s="2351" t="s">
        <v>2490</v>
      </c>
      <c r="F616" s="2351"/>
      <c r="G616" s="2351"/>
      <c r="H616" s="2351"/>
      <c r="I616" s="2351"/>
      <c r="J616" s="2351"/>
      <c r="K616" s="2351"/>
      <c r="L616" s="2351"/>
      <c r="M616" s="2351"/>
      <c r="N616" s="2351"/>
      <c r="O616" s="2351"/>
      <c r="P616" s="2351"/>
      <c r="Q616" s="2351"/>
      <c r="R616" s="2351"/>
      <c r="S616" s="2351"/>
      <c r="T616" s="2351"/>
      <c r="U616" s="2351"/>
      <c r="V616" s="2351"/>
      <c r="W616" s="2351"/>
      <c r="X616" s="2351"/>
      <c r="Y616" s="2351"/>
      <c r="Z616" s="2351"/>
      <c r="AA616" s="2351"/>
      <c r="AB616" s="2351"/>
      <c r="AC616" s="2351"/>
      <c r="AD616" s="2351"/>
      <c r="AE616" s="2351"/>
      <c r="AF616" s="2351"/>
      <c r="AG616" s="2351"/>
      <c r="AH616" s="481"/>
      <c r="AI616" s="481"/>
      <c r="AJ616" s="481"/>
      <c r="AK616" s="481"/>
      <c r="AL616" s="481"/>
      <c r="AN616" s="439"/>
    </row>
    <row r="617" spans="1:42" s="398" customFormat="1" ht="12.75" customHeight="1">
      <c r="B617" s="385"/>
      <c r="C617" s="737"/>
      <c r="D617" s="481"/>
      <c r="E617" s="2351"/>
      <c r="F617" s="2351"/>
      <c r="G617" s="2351"/>
      <c r="H617" s="2351"/>
      <c r="I617" s="2351"/>
      <c r="J617" s="2351"/>
      <c r="K617" s="2351"/>
      <c r="L617" s="2351"/>
      <c r="M617" s="2351"/>
      <c r="N617" s="2351"/>
      <c r="O617" s="2351"/>
      <c r="P617" s="2351"/>
      <c r="Q617" s="2351"/>
      <c r="R617" s="2351"/>
      <c r="S617" s="2351"/>
      <c r="T617" s="2351"/>
      <c r="U617" s="2351"/>
      <c r="V617" s="2351"/>
      <c r="W617" s="2351"/>
      <c r="X617" s="2351"/>
      <c r="Y617" s="2351"/>
      <c r="Z617" s="2351"/>
      <c r="AA617" s="2351"/>
      <c r="AB617" s="2351"/>
      <c r="AC617" s="2351"/>
      <c r="AD617" s="2351"/>
      <c r="AE617" s="2351"/>
      <c r="AF617" s="2351"/>
      <c r="AG617" s="2351"/>
      <c r="AH617" s="481"/>
      <c r="AI617" s="481"/>
      <c r="AJ617" s="481"/>
      <c r="AK617" s="481"/>
      <c r="AL617" s="481"/>
      <c r="AN617" s="439"/>
    </row>
    <row r="618" spans="1:42" s="398" customFormat="1" ht="12.75" customHeight="1">
      <c r="B618" s="385"/>
      <c r="C618" s="737"/>
      <c r="D618" s="481"/>
      <c r="E618" s="2351"/>
      <c r="F618" s="2351"/>
      <c r="G618" s="2351"/>
      <c r="H618" s="2351"/>
      <c r="I618" s="2351"/>
      <c r="J618" s="2351"/>
      <c r="K618" s="2351"/>
      <c r="L618" s="2351"/>
      <c r="M618" s="2351"/>
      <c r="N618" s="2351"/>
      <c r="O618" s="2351"/>
      <c r="P618" s="2351"/>
      <c r="Q618" s="2351"/>
      <c r="R618" s="2351"/>
      <c r="S618" s="2351"/>
      <c r="T618" s="2351"/>
      <c r="U618" s="2351"/>
      <c r="V618" s="2351"/>
      <c r="W618" s="2351"/>
      <c r="X618" s="2351"/>
      <c r="Y618" s="2351"/>
      <c r="Z618" s="2351"/>
      <c r="AA618" s="2351"/>
      <c r="AB618" s="2351"/>
      <c r="AC618" s="2351"/>
      <c r="AD618" s="2351"/>
      <c r="AE618" s="2351"/>
      <c r="AF618" s="2351"/>
      <c r="AG618" s="2351"/>
      <c r="AH618" s="481"/>
      <c r="AI618" s="481"/>
      <c r="AJ618" s="481"/>
      <c r="AK618" s="481"/>
      <c r="AL618" s="481"/>
      <c r="AN618" s="439"/>
    </row>
    <row r="619" spans="1:42" s="398" customFormat="1" ht="12.75" customHeight="1">
      <c r="B619" s="385"/>
      <c r="C619" s="737"/>
      <c r="D619" s="481"/>
      <c r="E619" s="2351"/>
      <c r="F619" s="2351"/>
      <c r="G619" s="2351"/>
      <c r="H619" s="2351"/>
      <c r="I619" s="2351"/>
      <c r="J619" s="2351"/>
      <c r="K619" s="2351"/>
      <c r="L619" s="2351"/>
      <c r="M619" s="2351"/>
      <c r="N619" s="2351"/>
      <c r="O619" s="2351"/>
      <c r="P619" s="2351"/>
      <c r="Q619" s="2351"/>
      <c r="R619" s="2351"/>
      <c r="S619" s="2351"/>
      <c r="T619" s="2351"/>
      <c r="U619" s="2351"/>
      <c r="V619" s="2351"/>
      <c r="W619" s="2351"/>
      <c r="X619" s="2351"/>
      <c r="Y619" s="2351"/>
      <c r="Z619" s="2351"/>
      <c r="AA619" s="2351"/>
      <c r="AB619" s="2351"/>
      <c r="AC619" s="2351"/>
      <c r="AD619" s="2351"/>
      <c r="AE619" s="2351"/>
      <c r="AF619" s="2351"/>
      <c r="AG619" s="2351"/>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2491</v>
      </c>
      <c r="AJ621" s="2358">
        <f>VLOOKUP($H$606,$AO$586:$AP$591,2,FALSE)+IF(R606=AO594,0,VLOOKUP($I$614,$AO$613:$AP$615,2,FALSE))</f>
        <v>3</v>
      </c>
      <c r="AK621" s="2360"/>
      <c r="AL621" s="437"/>
      <c r="AM621" s="512"/>
      <c r="AN621" s="439"/>
    </row>
    <row r="622" spans="1:42" s="398" customFormat="1" ht="12.75" customHeight="1">
      <c r="B622" s="385"/>
      <c r="C622" s="737"/>
      <c r="D622" s="385"/>
      <c r="E622" s="1212"/>
      <c r="F622" s="1212"/>
      <c r="G622" s="1212"/>
      <c r="H622" s="1212"/>
      <c r="I622" s="1212"/>
      <c r="J622" s="1212"/>
      <c r="K622" s="1212"/>
      <c r="L622" s="1212"/>
      <c r="M622" s="1212"/>
      <c r="N622" s="1212"/>
      <c r="O622" s="1212"/>
      <c r="P622" s="1212"/>
      <c r="Q622" s="1212"/>
      <c r="R622" s="1212"/>
      <c r="S622" s="1212"/>
      <c r="T622" s="1212"/>
      <c r="U622" s="1212"/>
      <c r="V622" s="1212"/>
      <c r="W622" s="1212"/>
      <c r="X622" s="1212"/>
      <c r="Y622" s="1212"/>
      <c r="Z622" s="1212"/>
      <c r="AA622" s="1212"/>
      <c r="AB622" s="1212"/>
      <c r="AC622" s="385"/>
      <c r="AD622" s="385"/>
      <c r="AE622" s="1212"/>
      <c r="AF622" s="1212"/>
      <c r="AG622" s="1212"/>
      <c r="AH622" s="1212"/>
      <c r="AI622" s="1212"/>
      <c r="AJ622" s="1212"/>
      <c r="AK622" s="1212"/>
      <c r="AL622" s="1212"/>
      <c r="AM622" s="512"/>
      <c r="AN622" s="439"/>
    </row>
    <row r="623" spans="1:42" s="398" customFormat="1" ht="12.75" customHeight="1">
      <c r="B623" s="385"/>
      <c r="C623" s="388" t="s">
        <v>2492</v>
      </c>
      <c r="D623" s="388"/>
      <c r="E623" s="1212"/>
      <c r="F623" s="1212"/>
      <c r="G623" s="1212"/>
      <c r="H623" s="1212"/>
      <c r="I623" s="1212"/>
      <c r="J623" s="1212"/>
      <c r="K623" s="1212"/>
      <c r="L623" s="1212"/>
      <c r="M623" s="1212"/>
      <c r="N623" s="1212"/>
      <c r="O623" s="1212"/>
      <c r="P623" s="1212"/>
      <c r="Q623" s="1212"/>
      <c r="R623" s="1212"/>
      <c r="S623" s="1212"/>
      <c r="T623" s="1212"/>
      <c r="U623" s="1212"/>
      <c r="V623" s="1212"/>
      <c r="W623" s="1212"/>
      <c r="X623" s="1212"/>
      <c r="Y623" s="1212"/>
      <c r="Z623" s="1212"/>
      <c r="AA623" s="1212"/>
      <c r="AB623" s="1212"/>
      <c r="AC623" s="385"/>
      <c r="AD623" s="385"/>
      <c r="AE623" s="385"/>
      <c r="AF623" s="385"/>
      <c r="AG623" s="385"/>
      <c r="AH623" s="385"/>
      <c r="AI623" s="385"/>
      <c r="AJ623" s="385"/>
      <c r="AK623" s="385"/>
      <c r="AL623" s="385"/>
      <c r="AN623" s="439"/>
    </row>
    <row r="624" spans="1:42" s="398" customFormat="1" ht="12.75" customHeight="1">
      <c r="B624" s="451"/>
      <c r="C624" s="385"/>
      <c r="D624" s="739"/>
      <c r="E624" s="1212"/>
      <c r="F624" s="1212"/>
      <c r="G624" s="1212"/>
      <c r="H624" s="1212"/>
      <c r="I624" s="1212"/>
      <c r="J624" s="1212"/>
      <c r="K624" s="1212"/>
      <c r="L624" s="1212"/>
      <c r="M624" s="1212"/>
      <c r="N624" s="1212"/>
      <c r="O624" s="1212"/>
      <c r="P624" s="1212"/>
      <c r="Q624" s="1212"/>
      <c r="R624" s="1212"/>
      <c r="S624" s="1212"/>
      <c r="T624" s="1212"/>
      <c r="U624" s="1212"/>
      <c r="V624" s="1212"/>
      <c r="W624" s="1212"/>
      <c r="X624" s="1212"/>
      <c r="Y624" s="1212"/>
      <c r="Z624" s="1212"/>
      <c r="AA624" s="1212"/>
      <c r="AB624" s="1212"/>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2465" t="s">
        <v>2493</v>
      </c>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388"/>
      <c r="AF625" s="2451" t="s">
        <v>2206</v>
      </c>
      <c r="AG625" s="2451"/>
      <c r="AH625" s="2451"/>
      <c r="AI625" s="2451"/>
      <c r="AJ625" s="2451"/>
      <c r="AK625" s="2451"/>
      <c r="AL625" s="2451"/>
      <c r="AM625" s="398"/>
      <c r="AN625" s="515"/>
    </row>
    <row r="626" spans="1:42" s="398" customFormat="1" ht="12.75" customHeight="1">
      <c r="A626" s="1210"/>
      <c r="B626" s="385"/>
      <c r="C626" s="737"/>
      <c r="D626" s="500"/>
      <c r="E626" s="2465"/>
      <c r="F626" s="2465"/>
      <c r="G626" s="2465"/>
      <c r="H626" s="2465"/>
      <c r="I626" s="2465"/>
      <c r="J626" s="2465"/>
      <c r="K626" s="2465"/>
      <c r="L626" s="2465"/>
      <c r="M626" s="2465"/>
      <c r="N626" s="2465"/>
      <c r="O626" s="2465"/>
      <c r="P626" s="2465"/>
      <c r="Q626" s="2465"/>
      <c r="R626" s="2465"/>
      <c r="S626" s="2465"/>
      <c r="T626" s="2465"/>
      <c r="U626" s="2465"/>
      <c r="V626" s="2465"/>
      <c r="W626" s="2465"/>
      <c r="X626" s="2465"/>
      <c r="Y626" s="2465"/>
      <c r="Z626" s="2465"/>
      <c r="AA626" s="2465"/>
      <c r="AB626" s="2465"/>
      <c r="AC626" s="2465"/>
      <c r="AD626" s="2465"/>
      <c r="AE626" s="385"/>
      <c r="AF626" s="385"/>
      <c r="AG626" s="385"/>
      <c r="AH626" s="385"/>
      <c r="AI626" s="385"/>
      <c r="AJ626" s="385"/>
      <c r="AK626" s="385"/>
      <c r="AL626" s="385"/>
      <c r="AN626" s="439"/>
    </row>
    <row r="627" spans="1:42" s="398" customFormat="1" ht="12.75" customHeight="1">
      <c r="B627" s="385"/>
      <c r="C627" s="735"/>
      <c r="D627" s="500"/>
      <c r="E627" s="2465"/>
      <c r="F627" s="2465"/>
      <c r="G627" s="2465"/>
      <c r="H627" s="2465"/>
      <c r="I627" s="2465"/>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385"/>
      <c r="AF627" s="385"/>
      <c r="AG627" s="385"/>
      <c r="AH627" s="385"/>
      <c r="AI627" s="385"/>
      <c r="AJ627" s="385"/>
      <c r="AK627" s="385"/>
      <c r="AL627" s="385"/>
      <c r="AN627" s="439"/>
    </row>
    <row r="628" spans="1:42" s="398" customFormat="1" ht="12.75" customHeight="1">
      <c r="B628" s="385"/>
      <c r="C628" s="735"/>
      <c r="D628" s="500"/>
      <c r="E628" s="2465"/>
      <c r="F628" s="2465"/>
      <c r="G628" s="2465"/>
      <c r="H628" s="2465"/>
      <c r="I628" s="2465"/>
      <c r="J628" s="2465"/>
      <c r="K628" s="2465"/>
      <c r="L628" s="2465"/>
      <c r="M628" s="2465"/>
      <c r="N628" s="2465"/>
      <c r="O628" s="2465"/>
      <c r="P628" s="2465"/>
      <c r="Q628" s="2465"/>
      <c r="R628" s="2465"/>
      <c r="S628" s="2465"/>
      <c r="T628" s="2465"/>
      <c r="U628" s="2465"/>
      <c r="V628" s="2465"/>
      <c r="W628" s="2465"/>
      <c r="X628" s="2465"/>
      <c r="Y628" s="2465"/>
      <c r="Z628" s="2465"/>
      <c r="AA628" s="2465"/>
      <c r="AB628" s="2465"/>
      <c r="AC628" s="2465"/>
      <c r="AD628" s="2465"/>
      <c r="AE628" s="385"/>
      <c r="AF628" s="385"/>
      <c r="AG628" s="385"/>
      <c r="AH628" s="385"/>
      <c r="AI628" s="385"/>
      <c r="AJ628" s="385"/>
      <c r="AK628" s="385"/>
      <c r="AL628" s="385"/>
      <c r="AN628" s="439"/>
    </row>
    <row r="629" spans="1:42" s="398" customFormat="1" ht="12.75" customHeight="1">
      <c r="B629" s="385"/>
      <c r="C629" s="735"/>
      <c r="D629" s="500"/>
      <c r="E629" s="2465"/>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385"/>
      <c r="AF629" s="385"/>
      <c r="AG629" s="385"/>
      <c r="AH629" s="385"/>
      <c r="AI629" s="385"/>
      <c r="AJ629" s="385"/>
      <c r="AK629" s="385"/>
      <c r="AL629" s="385"/>
      <c r="AN629" s="439"/>
    </row>
    <row r="630" spans="1:42" s="398" customFormat="1" ht="12.75" customHeight="1">
      <c r="B630" s="385"/>
      <c r="C630" s="735"/>
      <c r="D630" s="50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385"/>
      <c r="AF630" s="385"/>
      <c r="AG630" s="385"/>
      <c r="AH630" s="385"/>
      <c r="AI630" s="385"/>
      <c r="AJ630" s="385"/>
      <c r="AK630" s="385"/>
      <c r="AL630" s="385"/>
      <c r="AN630" s="439"/>
    </row>
    <row r="631" spans="1:42" s="398" customFormat="1" ht="12.75" customHeight="1">
      <c r="A631" s="477"/>
      <c r="B631" s="456"/>
      <c r="C631" s="743"/>
      <c r="D631" s="50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456"/>
      <c r="AF631" s="456"/>
      <c r="AG631" s="456"/>
      <c r="AH631" s="456"/>
      <c r="AI631" s="456"/>
      <c r="AJ631" s="456"/>
      <c r="AK631" s="385"/>
      <c r="AL631" s="385"/>
      <c r="AN631" s="439"/>
    </row>
    <row r="632" spans="1:42" s="398" customFormat="1" ht="12.75" customHeight="1">
      <c r="B632" s="456"/>
      <c r="C632" s="743"/>
      <c r="D632" s="50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456"/>
      <c r="AF632" s="456"/>
      <c r="AG632" s="456"/>
      <c r="AH632" s="456"/>
      <c r="AI632" s="456"/>
      <c r="AJ632" s="456"/>
      <c r="AK632" s="385"/>
      <c r="AL632" s="385"/>
      <c r="AN632" s="439"/>
    </row>
    <row r="633" spans="1:42" s="398" customFormat="1" ht="12" customHeight="1">
      <c r="B633" s="456"/>
      <c r="C633" s="743"/>
      <c r="D633" s="500"/>
      <c r="E633" s="1209"/>
      <c r="F633" s="1209"/>
      <c r="G633" s="1209"/>
      <c r="H633" s="1209"/>
      <c r="I633" s="1209"/>
      <c r="J633" s="1209"/>
      <c r="K633" s="1209"/>
      <c r="L633" s="1209"/>
      <c r="M633" s="1209"/>
      <c r="N633" s="1209"/>
      <c r="O633" s="1209"/>
      <c r="P633" s="1209"/>
      <c r="Q633" s="1209"/>
      <c r="R633" s="1209"/>
      <c r="S633" s="1209"/>
      <c r="T633" s="1209"/>
      <c r="U633" s="1209"/>
      <c r="V633" s="1209"/>
      <c r="W633" s="1209"/>
      <c r="X633" s="1209"/>
      <c r="Y633" s="1209"/>
      <c r="Z633" s="1209"/>
      <c r="AA633" s="1209"/>
      <c r="AB633" s="1209"/>
      <c r="AC633" s="1209"/>
      <c r="AD633" s="1209"/>
      <c r="AE633" s="456"/>
      <c r="AF633" s="456"/>
      <c r="AG633" s="456"/>
      <c r="AH633" s="456"/>
      <c r="AI633" s="456"/>
      <c r="AJ633" s="456"/>
      <c r="AK633" s="385"/>
      <c r="AL633" s="385"/>
      <c r="AN633" s="439"/>
      <c r="AO633" s="398" t="s">
        <v>798</v>
      </c>
      <c r="AP633" s="510">
        <v>0</v>
      </c>
    </row>
    <row r="634" spans="1:42" s="398" customFormat="1" ht="12.75" customHeight="1">
      <c r="B634" s="456"/>
      <c r="C634" s="735"/>
      <c r="D634" s="500"/>
      <c r="E634" s="456" t="s">
        <v>2494</v>
      </c>
      <c r="F634" s="744"/>
      <c r="G634" s="744"/>
      <c r="H634" s="744"/>
      <c r="I634" s="744"/>
      <c r="J634" s="744"/>
      <c r="K634" s="744"/>
      <c r="L634" s="744"/>
      <c r="M634" s="744"/>
      <c r="N634" s="744"/>
      <c r="O634" s="744"/>
      <c r="P634" s="744"/>
      <c r="Q634" s="744"/>
      <c r="R634" s="744"/>
      <c r="U634" s="744"/>
      <c r="V634" s="744"/>
      <c r="W634" s="744"/>
      <c r="X634" s="2323" t="s">
        <v>798</v>
      </c>
      <c r="Y634" s="2323"/>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2495</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2451" t="s">
        <v>2496</v>
      </c>
      <c r="AG636" s="2451"/>
      <c r="AH636" s="2451"/>
      <c r="AI636" s="2451"/>
      <c r="AJ636" s="2451"/>
      <c r="AK636" s="2451"/>
      <c r="AL636" s="2451"/>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2466</v>
      </c>
      <c r="AP637" s="516">
        <v>4</v>
      </c>
    </row>
    <row r="638" spans="1:42" s="398" customFormat="1" ht="12.75" customHeight="1">
      <c r="B638" s="385"/>
      <c r="C638" s="735"/>
      <c r="D638" s="385" t="s">
        <v>2482</v>
      </c>
      <c r="E638" s="1212"/>
      <c r="F638" s="1212"/>
      <c r="G638" s="1212"/>
      <c r="H638" s="2375" t="s">
        <v>22</v>
      </c>
      <c r="I638" s="2375"/>
      <c r="J638" s="745"/>
      <c r="K638" s="745"/>
      <c r="L638" s="745"/>
      <c r="M638" s="745"/>
      <c r="N638" s="745"/>
      <c r="O638" s="745"/>
      <c r="P638" s="745"/>
      <c r="Q638" s="745"/>
      <c r="R638" s="745"/>
      <c r="S638" s="745"/>
      <c r="T638" s="745"/>
      <c r="U638" s="1212"/>
      <c r="V638" s="1212"/>
      <c r="W638" s="1212"/>
      <c r="X638" s="385"/>
      <c r="Y638" s="385"/>
      <c r="Z638" s="385"/>
      <c r="AA638" s="385"/>
      <c r="AB638" s="385"/>
      <c r="AC638" s="385"/>
      <c r="AD638" s="385"/>
      <c r="AE638" s="385"/>
      <c r="AF638" s="385"/>
      <c r="AG638" s="385"/>
      <c r="AH638" s="385"/>
      <c r="AI638" s="385"/>
      <c r="AJ638" s="385"/>
      <c r="AK638" s="385"/>
      <c r="AL638" s="385"/>
      <c r="AN638" s="439"/>
      <c r="AO638" s="452" t="s">
        <v>2469</v>
      </c>
      <c r="AP638" s="398">
        <v>3</v>
      </c>
    </row>
    <row r="639" spans="1:42" s="398" customFormat="1" ht="12.75" customHeight="1">
      <c r="B639" s="385"/>
      <c r="C639" s="735"/>
      <c r="D639" s="385"/>
      <c r="E639" s="1212"/>
      <c r="F639" s="745"/>
      <c r="G639" s="745"/>
      <c r="H639" s="745"/>
      <c r="I639" s="746"/>
      <c r="J639" s="745"/>
      <c r="K639" s="745"/>
      <c r="L639" s="745"/>
      <c r="M639" s="745"/>
      <c r="N639" s="745"/>
      <c r="O639" s="745"/>
      <c r="P639" s="745"/>
      <c r="Q639" s="745"/>
      <c r="R639" s="385"/>
      <c r="S639" s="385"/>
      <c r="T639" s="745"/>
      <c r="U639" s="1212"/>
      <c r="V639" s="1212"/>
      <c r="W639" s="1212"/>
      <c r="X639" s="1212"/>
      <c r="Y639" s="1212"/>
      <c r="Z639" s="1212"/>
      <c r="AA639" s="1212"/>
      <c r="AB639" s="1212"/>
      <c r="AC639" s="385"/>
      <c r="AD639" s="385"/>
      <c r="AE639" s="385"/>
      <c r="AF639" s="385"/>
      <c r="AG639" s="385"/>
      <c r="AH639" s="385"/>
      <c r="AI639" s="745"/>
      <c r="AJ639" s="745"/>
      <c r="AK639" s="745"/>
      <c r="AL639" s="745"/>
      <c r="AM639" s="517"/>
      <c r="AN639" s="439"/>
      <c r="AO639" s="452" t="s">
        <v>2497</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2498</v>
      </c>
      <c r="AJ640" s="2358">
        <f>VLOOKUP($H$638,$AO$605:$AP$607,2,FALSE)</f>
        <v>3</v>
      </c>
      <c r="AK640" s="2360"/>
      <c r="AL640" s="437"/>
      <c r="AN640" s="439"/>
      <c r="AO640" s="452" t="s">
        <v>2499</v>
      </c>
      <c r="AP640" s="398">
        <v>1</v>
      </c>
    </row>
    <row r="641" spans="1:42" s="398" customFormat="1" ht="12.75" customHeight="1">
      <c r="B641" s="385"/>
      <c r="C641" s="735"/>
      <c r="D641" s="385"/>
      <c r="E641" s="1212"/>
      <c r="F641" s="1212"/>
      <c r="G641" s="1212"/>
      <c r="H641" s="385"/>
      <c r="I641" s="385"/>
      <c r="J641" s="745"/>
      <c r="K641" s="745"/>
      <c r="L641" s="745"/>
      <c r="M641" s="745"/>
      <c r="N641" s="745"/>
      <c r="O641" s="745"/>
      <c r="P641" s="745"/>
      <c r="Q641" s="745"/>
      <c r="R641" s="745"/>
      <c r="S641" s="745"/>
      <c r="T641" s="745"/>
      <c r="U641" s="1212"/>
      <c r="V641" s="1212"/>
      <c r="W641" s="1212"/>
      <c r="X641" s="1212"/>
      <c r="Y641" s="1212"/>
      <c r="Z641" s="1212"/>
      <c r="AA641" s="1212"/>
      <c r="AB641" s="1212"/>
      <c r="AC641" s="385"/>
      <c r="AD641" s="385"/>
      <c r="AE641" s="385"/>
      <c r="AF641" s="385"/>
      <c r="AG641" s="385"/>
      <c r="AH641" s="385"/>
      <c r="AI641" s="385"/>
      <c r="AJ641" s="1187"/>
      <c r="AK641" s="385"/>
      <c r="AL641" s="385"/>
      <c r="AN641" s="439"/>
    </row>
    <row r="642" spans="1:42" s="398" customFormat="1" ht="12.75" customHeight="1">
      <c r="B642" s="385"/>
      <c r="C642" s="388" t="s">
        <v>2500</v>
      </c>
      <c r="D642" s="385"/>
      <c r="E642" s="1212"/>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193"/>
      <c r="AD642" s="1193"/>
      <c r="AE642" s="1193"/>
      <c r="AF642" s="1193"/>
      <c r="AG642" s="1193"/>
      <c r="AH642" s="1193"/>
      <c r="AI642" s="1193"/>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2351" t="s">
        <v>2501</v>
      </c>
      <c r="F644" s="2351"/>
      <c r="G644" s="2351"/>
      <c r="H644" s="2351"/>
      <c r="I644" s="2351"/>
      <c r="J644" s="2351"/>
      <c r="K644" s="2351"/>
      <c r="L644" s="2351"/>
      <c r="M644" s="2351"/>
      <c r="N644" s="2351"/>
      <c r="O644" s="2351"/>
      <c r="P644" s="2351"/>
      <c r="Q644" s="2351"/>
      <c r="R644" s="2351"/>
      <c r="S644" s="2351"/>
      <c r="T644" s="2351"/>
      <c r="U644" s="2351"/>
      <c r="V644" s="2351"/>
      <c r="W644" s="2351"/>
      <c r="X644" s="2351"/>
      <c r="Y644" s="2351"/>
      <c r="Z644" s="2351"/>
      <c r="AA644" s="2351"/>
      <c r="AB644" s="2351"/>
      <c r="AC644" s="2351"/>
      <c r="AD644" s="2351"/>
      <c r="AE644" s="385"/>
      <c r="AF644" s="2451" t="s">
        <v>2206</v>
      </c>
      <c r="AG644" s="2451"/>
      <c r="AH644" s="2451"/>
      <c r="AI644" s="2451"/>
      <c r="AJ644" s="2451"/>
      <c r="AK644" s="2451"/>
      <c r="AL644" s="2451"/>
      <c r="AN644" s="439"/>
    </row>
    <row r="645" spans="1:42" s="398" customFormat="1" ht="12.75" customHeight="1">
      <c r="B645" s="385"/>
      <c r="C645" s="385"/>
      <c r="D645" s="500"/>
      <c r="E645" s="2351"/>
      <c r="F645" s="2351"/>
      <c r="G645" s="2351"/>
      <c r="H645" s="2351"/>
      <c r="I645" s="2351"/>
      <c r="J645" s="2351"/>
      <c r="K645" s="2351"/>
      <c r="L645" s="2351"/>
      <c r="M645" s="2351"/>
      <c r="N645" s="2351"/>
      <c r="O645" s="2351"/>
      <c r="P645" s="2351"/>
      <c r="Q645" s="2351"/>
      <c r="R645" s="2351"/>
      <c r="S645" s="2351"/>
      <c r="T645" s="2351"/>
      <c r="U645" s="2351"/>
      <c r="V645" s="2351"/>
      <c r="W645" s="2351"/>
      <c r="X645" s="2351"/>
      <c r="Y645" s="2351"/>
      <c r="Z645" s="2351"/>
      <c r="AA645" s="2351"/>
      <c r="AB645" s="2351"/>
      <c r="AC645" s="2351"/>
      <c r="AD645" s="2351"/>
      <c r="AE645" s="1193"/>
      <c r="AF645" s="1193"/>
      <c r="AG645" s="1193"/>
      <c r="AH645" s="1193"/>
      <c r="AI645" s="1193"/>
      <c r="AJ645" s="1193"/>
      <c r="AK645" s="1193"/>
      <c r="AL645" s="1193"/>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2502</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2451" t="s">
        <v>2496</v>
      </c>
      <c r="AG647" s="2451"/>
      <c r="AH647" s="2451"/>
      <c r="AI647" s="2451"/>
      <c r="AJ647" s="2451"/>
      <c r="AK647" s="2451"/>
      <c r="AL647" s="2451"/>
      <c r="AN647" s="439"/>
    </row>
    <row r="648" spans="1:42" s="398" customFormat="1" ht="12.75" customHeight="1">
      <c r="B648" s="385"/>
      <c r="C648" s="735"/>
      <c r="D648" s="500"/>
      <c r="E648" s="456" t="s">
        <v>2503</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193"/>
      <c r="AF648" s="1193"/>
      <c r="AG648" s="1193"/>
      <c r="AH648" s="1193"/>
      <c r="AI648" s="1193"/>
      <c r="AJ648" s="1193"/>
      <c r="AK648" s="1193"/>
      <c r="AL648" s="1193"/>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2482</v>
      </c>
      <c r="E650" s="1212"/>
      <c r="F650" s="1212"/>
      <c r="G650" s="1212"/>
      <c r="H650" s="2375" t="s">
        <v>27</v>
      </c>
      <c r="I650" s="2375"/>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212"/>
      <c r="F651" s="1212"/>
      <c r="G651" s="456"/>
      <c r="H651" s="456"/>
      <c r="I651" s="456"/>
      <c r="J651" s="456"/>
      <c r="K651" s="456"/>
      <c r="L651" s="456"/>
      <c r="M651" s="456"/>
      <c r="N651" s="456"/>
      <c r="O651" s="456"/>
      <c r="P651" s="456"/>
      <c r="Q651" s="456"/>
      <c r="R651" s="456"/>
      <c r="S651" s="456"/>
      <c r="T651" s="456"/>
      <c r="U651" s="456"/>
      <c r="V651" s="456"/>
      <c r="W651" s="456"/>
      <c r="X651" s="456"/>
      <c r="Y651" s="456"/>
      <c r="Z651" s="1212"/>
      <c r="AA651" s="1212"/>
      <c r="AB651" s="1212"/>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2504</v>
      </c>
      <c r="AJ652" s="2358">
        <f>VLOOKUP(H650,AT605:AU607,2,FALSE)</f>
        <v>2</v>
      </c>
      <c r="AK652" s="2360"/>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388" t="s">
        <v>2505</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388"/>
      <c r="D655" s="518" t="s">
        <v>2506</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388"/>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388"/>
      <c r="D657" s="500" t="s">
        <v>22</v>
      </c>
      <c r="E657" s="2351" t="s">
        <v>2507</v>
      </c>
      <c r="F657" s="2351"/>
      <c r="G657" s="2351"/>
      <c r="H657" s="2351"/>
      <c r="I657" s="2351"/>
      <c r="J657" s="2351"/>
      <c r="K657" s="2351"/>
      <c r="L657" s="2351"/>
      <c r="M657" s="2351"/>
      <c r="N657" s="2351"/>
      <c r="O657" s="2351"/>
      <c r="P657" s="2351"/>
      <c r="Q657" s="2351"/>
      <c r="R657" s="2351"/>
      <c r="S657" s="2351"/>
      <c r="T657" s="2351"/>
      <c r="U657" s="2351"/>
      <c r="V657" s="2351"/>
      <c r="W657" s="2351"/>
      <c r="X657" s="2351"/>
      <c r="Y657" s="2351"/>
      <c r="Z657" s="2351"/>
      <c r="AA657" s="2351"/>
      <c r="AB657" s="2351"/>
      <c r="AC657" s="2351"/>
      <c r="AD657" s="385"/>
      <c r="AE657" s="385"/>
      <c r="AF657" s="2451" t="s">
        <v>2468</v>
      </c>
      <c r="AG657" s="2451"/>
      <c r="AH657" s="2451"/>
      <c r="AI657" s="2451"/>
      <c r="AJ657" s="2451"/>
      <c r="AK657" s="2451"/>
      <c r="AL657" s="2451"/>
      <c r="AN657" s="439"/>
    </row>
    <row r="658" spans="1:42" s="398" customFormat="1" ht="12.75" customHeight="1">
      <c r="B658" s="385"/>
      <c r="C658" s="388"/>
      <c r="D658" s="385"/>
      <c r="E658" s="2351"/>
      <c r="F658" s="2351"/>
      <c r="G658" s="2351"/>
      <c r="H658" s="2351"/>
      <c r="I658" s="2351"/>
      <c r="J658" s="2351"/>
      <c r="K658" s="2351"/>
      <c r="L658" s="2351"/>
      <c r="M658" s="2351"/>
      <c r="N658" s="2351"/>
      <c r="O658" s="2351"/>
      <c r="P658" s="2351"/>
      <c r="Q658" s="2351"/>
      <c r="R658" s="2351"/>
      <c r="S658" s="2351"/>
      <c r="T658" s="2351"/>
      <c r="U658" s="2351"/>
      <c r="V658" s="2351"/>
      <c r="W658" s="2351"/>
      <c r="X658" s="2351"/>
      <c r="Y658" s="2351"/>
      <c r="Z658" s="2351"/>
      <c r="AA658" s="2351"/>
      <c r="AB658" s="2351"/>
      <c r="AC658" s="2351"/>
      <c r="AD658" s="385"/>
      <c r="AE658" s="385"/>
      <c r="AF658" s="385"/>
      <c r="AG658" s="385"/>
      <c r="AH658" s="385"/>
      <c r="AI658" s="385"/>
      <c r="AJ658" s="385"/>
      <c r="AK658" s="385"/>
      <c r="AL658" s="385"/>
      <c r="AN658" s="439"/>
    </row>
    <row r="659" spans="1:42" s="398" customFormat="1" ht="12.75" customHeight="1">
      <c r="B659" s="385"/>
      <c r="C659" s="388"/>
      <c r="D659" s="500"/>
      <c r="E659" s="2351"/>
      <c r="F659" s="2351"/>
      <c r="G659" s="2351"/>
      <c r="H659" s="2351"/>
      <c r="I659" s="2351"/>
      <c r="J659" s="2351"/>
      <c r="K659" s="2351"/>
      <c r="L659" s="2351"/>
      <c r="M659" s="2351"/>
      <c r="N659" s="2351"/>
      <c r="O659" s="2351"/>
      <c r="P659" s="2351"/>
      <c r="Q659" s="2351"/>
      <c r="R659" s="2351"/>
      <c r="S659" s="2351"/>
      <c r="T659" s="2351"/>
      <c r="U659" s="2351"/>
      <c r="V659" s="2351"/>
      <c r="W659" s="2351"/>
      <c r="X659" s="2351"/>
      <c r="Y659" s="2351"/>
      <c r="Z659" s="2351"/>
      <c r="AA659" s="2351"/>
      <c r="AB659" s="2351"/>
      <c r="AC659" s="2351"/>
      <c r="AD659" s="385"/>
      <c r="AE659" s="385"/>
      <c r="AF659" s="385"/>
      <c r="AG659" s="385"/>
      <c r="AH659" s="385"/>
      <c r="AI659" s="385"/>
      <c r="AJ659" s="385"/>
      <c r="AK659" s="385"/>
      <c r="AL659" s="385"/>
      <c r="AN659" s="439"/>
    </row>
    <row r="660" spans="1:42" s="398" customFormat="1" ht="15" customHeight="1">
      <c r="B660" s="385"/>
      <c r="C660" s="388"/>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388"/>
      <c r="D661" s="500" t="s">
        <v>27</v>
      </c>
      <c r="E661" s="2351" t="s">
        <v>2508</v>
      </c>
      <c r="F661" s="2351"/>
      <c r="G661" s="2351"/>
      <c r="H661" s="2351"/>
      <c r="I661" s="2351"/>
      <c r="J661" s="2351"/>
      <c r="K661" s="2351"/>
      <c r="L661" s="2351"/>
      <c r="M661" s="2351"/>
      <c r="N661" s="2351"/>
      <c r="O661" s="2351"/>
      <c r="P661" s="2351"/>
      <c r="Q661" s="2351"/>
      <c r="R661" s="2351"/>
      <c r="S661" s="2351"/>
      <c r="T661" s="2351"/>
      <c r="U661" s="2351"/>
      <c r="V661" s="2351"/>
      <c r="W661" s="2351"/>
      <c r="X661" s="2351"/>
      <c r="Y661" s="2351"/>
      <c r="Z661" s="2351"/>
      <c r="AA661" s="2351"/>
      <c r="AB661" s="2351"/>
      <c r="AC661" s="2351"/>
      <c r="AD661" s="385"/>
      <c r="AE661" s="385"/>
      <c r="AF661" s="2451" t="s">
        <v>2474</v>
      </c>
      <c r="AG661" s="2451"/>
      <c r="AH661" s="2451"/>
      <c r="AI661" s="2451"/>
      <c r="AJ661" s="2451"/>
      <c r="AK661" s="2451"/>
      <c r="AL661" s="2451"/>
      <c r="AN661" s="439"/>
    </row>
    <row r="662" spans="1:42" s="398" customFormat="1" ht="12.75" customHeight="1">
      <c r="B662" s="385"/>
      <c r="C662" s="388"/>
      <c r="D662" s="385"/>
      <c r="E662" s="2351"/>
      <c r="F662" s="2351"/>
      <c r="G662" s="2351"/>
      <c r="H662" s="2351"/>
      <c r="I662" s="2351"/>
      <c r="J662" s="2351"/>
      <c r="K662" s="2351"/>
      <c r="L662" s="2351"/>
      <c r="M662" s="2351"/>
      <c r="N662" s="2351"/>
      <c r="O662" s="2351"/>
      <c r="P662" s="2351"/>
      <c r="Q662" s="2351"/>
      <c r="R662" s="2351"/>
      <c r="S662" s="2351"/>
      <c r="T662" s="2351"/>
      <c r="U662" s="2351"/>
      <c r="V662" s="2351"/>
      <c r="W662" s="2351"/>
      <c r="X662" s="2351"/>
      <c r="Y662" s="2351"/>
      <c r="Z662" s="2351"/>
      <c r="AA662" s="2351"/>
      <c r="AB662" s="2351"/>
      <c r="AC662" s="2351"/>
      <c r="AD662" s="385"/>
      <c r="AE662" s="385"/>
      <c r="AF662" s="385"/>
      <c r="AG662" s="385"/>
      <c r="AH662" s="385"/>
      <c r="AI662" s="385"/>
      <c r="AJ662" s="385"/>
      <c r="AK662" s="385"/>
      <c r="AL662" s="385"/>
      <c r="AN662" s="439"/>
    </row>
    <row r="663" spans="1:42" s="398" customFormat="1" ht="15" customHeight="1">
      <c r="B663" s="385"/>
      <c r="C663" s="388"/>
      <c r="D663" s="500"/>
      <c r="E663" s="2351"/>
      <c r="F663" s="2351"/>
      <c r="G663" s="2351"/>
      <c r="H663" s="2351"/>
      <c r="I663" s="2351"/>
      <c r="J663" s="2351"/>
      <c r="K663" s="2351"/>
      <c r="L663" s="2351"/>
      <c r="M663" s="2351"/>
      <c r="N663" s="2351"/>
      <c r="O663" s="2351"/>
      <c r="P663" s="2351"/>
      <c r="Q663" s="2351"/>
      <c r="R663" s="2351"/>
      <c r="S663" s="2351"/>
      <c r="T663" s="2351"/>
      <c r="U663" s="2351"/>
      <c r="V663" s="2351"/>
      <c r="W663" s="2351"/>
      <c r="X663" s="2351"/>
      <c r="Y663" s="2351"/>
      <c r="Z663" s="2351"/>
      <c r="AA663" s="2351"/>
      <c r="AB663" s="2351"/>
      <c r="AC663" s="2351"/>
      <c r="AD663" s="385"/>
      <c r="AE663" s="385"/>
      <c r="AF663" s="385"/>
      <c r="AG663" s="385"/>
      <c r="AH663" s="385"/>
      <c r="AI663" s="385"/>
      <c r="AJ663" s="385"/>
      <c r="AK663" s="385"/>
      <c r="AL663" s="385"/>
      <c r="AN663" s="439"/>
    </row>
    <row r="664" spans="1:42" s="398" customFormat="1" ht="12.75" customHeight="1">
      <c r="B664" s="385"/>
      <c r="C664" s="388"/>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388"/>
      <c r="D665" s="500" t="s">
        <v>49</v>
      </c>
      <c r="E665" s="2351" t="s">
        <v>2509</v>
      </c>
      <c r="F665" s="2351"/>
      <c r="G665" s="2351"/>
      <c r="H665" s="2351"/>
      <c r="I665" s="2351"/>
      <c r="J665" s="2351"/>
      <c r="K665" s="2351"/>
      <c r="L665" s="2351"/>
      <c r="M665" s="2351"/>
      <c r="N665" s="2351"/>
      <c r="O665" s="2351"/>
      <c r="P665" s="2351"/>
      <c r="Q665" s="2351"/>
      <c r="R665" s="2351"/>
      <c r="S665" s="2351"/>
      <c r="T665" s="2351"/>
      <c r="U665" s="2351"/>
      <c r="V665" s="2351"/>
      <c r="W665" s="2351"/>
      <c r="X665" s="2351"/>
      <c r="Y665" s="2351"/>
      <c r="Z665" s="2351"/>
      <c r="AA665" s="2351"/>
      <c r="AB665" s="2351"/>
      <c r="AC665" s="2351"/>
      <c r="AD665" s="385"/>
      <c r="AE665" s="385"/>
      <c r="AF665" s="2451" t="s">
        <v>2206</v>
      </c>
      <c r="AG665" s="2451"/>
      <c r="AH665" s="2451"/>
      <c r="AI665" s="2451"/>
      <c r="AJ665" s="2451"/>
      <c r="AK665" s="2451"/>
      <c r="AL665" s="2451"/>
      <c r="AN665" s="439"/>
    </row>
    <row r="666" spans="1:42" s="398" customFormat="1" ht="12.75" customHeight="1">
      <c r="B666" s="385"/>
      <c r="C666" s="735"/>
      <c r="D666" s="385"/>
      <c r="E666" s="2351"/>
      <c r="F666" s="2351"/>
      <c r="G666" s="2351"/>
      <c r="H666" s="2351"/>
      <c r="I666" s="2351"/>
      <c r="J666" s="2351"/>
      <c r="K666" s="2351"/>
      <c r="L666" s="2351"/>
      <c r="M666" s="2351"/>
      <c r="N666" s="2351"/>
      <c r="O666" s="2351"/>
      <c r="P666" s="2351"/>
      <c r="Q666" s="2351"/>
      <c r="R666" s="2351"/>
      <c r="S666" s="2351"/>
      <c r="T666" s="2351"/>
      <c r="U666" s="2351"/>
      <c r="V666" s="2351"/>
      <c r="W666" s="2351"/>
      <c r="X666" s="2351"/>
      <c r="Y666" s="2351"/>
      <c r="Z666" s="2351"/>
      <c r="AA666" s="2351"/>
      <c r="AB666" s="2351"/>
      <c r="AC666" s="2351"/>
      <c r="AD666" s="385"/>
      <c r="AE666" s="2451"/>
      <c r="AF666" s="2451"/>
      <c r="AG666" s="2451"/>
      <c r="AH666" s="2451"/>
      <c r="AI666" s="2451"/>
      <c r="AJ666" s="2451"/>
      <c r="AK666" s="2451"/>
      <c r="AL666" s="1193"/>
      <c r="AN666" s="439"/>
      <c r="AO666" s="398" t="s">
        <v>798</v>
      </c>
      <c r="AP666" s="510">
        <v>0</v>
      </c>
    </row>
    <row r="667" spans="1:42" s="398" customFormat="1" ht="12.75" customHeight="1">
      <c r="A667" s="1210"/>
      <c r="B667" s="385"/>
      <c r="C667" s="385"/>
      <c r="D667" s="500"/>
      <c r="E667" s="2351"/>
      <c r="F667" s="2351"/>
      <c r="G667" s="2351"/>
      <c r="H667" s="2351"/>
      <c r="I667" s="2351"/>
      <c r="J667" s="2351"/>
      <c r="K667" s="2351"/>
      <c r="L667" s="2351"/>
      <c r="M667" s="2351"/>
      <c r="N667" s="2351"/>
      <c r="O667" s="2351"/>
      <c r="P667" s="2351"/>
      <c r="Q667" s="2351"/>
      <c r="R667" s="2351"/>
      <c r="S667" s="2351"/>
      <c r="T667" s="2351"/>
      <c r="U667" s="2351"/>
      <c r="V667" s="2351"/>
      <c r="W667" s="2351"/>
      <c r="X667" s="2351"/>
      <c r="Y667" s="2351"/>
      <c r="Z667" s="2351"/>
      <c r="AA667" s="2351"/>
      <c r="AB667" s="2351"/>
      <c r="AC667" s="2351"/>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2466</v>
      </c>
      <c r="E669" s="2351" t="s">
        <v>2510</v>
      </c>
      <c r="F669" s="2351"/>
      <c r="G669" s="2351"/>
      <c r="H669" s="2351"/>
      <c r="I669" s="2351"/>
      <c r="J669" s="2351"/>
      <c r="K669" s="2351"/>
      <c r="L669" s="2351"/>
      <c r="M669" s="2351"/>
      <c r="N669" s="2351"/>
      <c r="O669" s="2351"/>
      <c r="P669" s="2351"/>
      <c r="Q669" s="2351"/>
      <c r="R669" s="2351"/>
      <c r="S669" s="2351"/>
      <c r="T669" s="2351"/>
      <c r="U669" s="2351"/>
      <c r="V669" s="2351"/>
      <c r="W669" s="2351"/>
      <c r="X669" s="2351"/>
      <c r="Y669" s="2351"/>
      <c r="Z669" s="2351"/>
      <c r="AA669" s="2351"/>
      <c r="AB669" s="2351"/>
      <c r="AC669" s="2351"/>
      <c r="AD669" s="385"/>
      <c r="AE669" s="385"/>
      <c r="AF669" s="2451" t="s">
        <v>2474</v>
      </c>
      <c r="AG669" s="2451"/>
      <c r="AH669" s="2451"/>
      <c r="AI669" s="2451"/>
      <c r="AJ669" s="2451"/>
      <c r="AK669" s="2451"/>
      <c r="AL669" s="2451"/>
      <c r="AN669" s="439"/>
    </row>
    <row r="670" spans="1:42" s="398" customFormat="1" ht="12.75" customHeight="1">
      <c r="A670" s="507"/>
      <c r="B670" s="385"/>
      <c r="C670" s="750"/>
      <c r="D670" s="500"/>
      <c r="E670" s="2351"/>
      <c r="F670" s="2351"/>
      <c r="G670" s="2351"/>
      <c r="H670" s="2351"/>
      <c r="I670" s="2351"/>
      <c r="J670" s="2351"/>
      <c r="K670" s="2351"/>
      <c r="L670" s="2351"/>
      <c r="M670" s="2351"/>
      <c r="N670" s="2351"/>
      <c r="O670" s="2351"/>
      <c r="P670" s="2351"/>
      <c r="Q670" s="2351"/>
      <c r="R670" s="2351"/>
      <c r="S670" s="2351"/>
      <c r="T670" s="2351"/>
      <c r="U670" s="2351"/>
      <c r="V670" s="2351"/>
      <c r="W670" s="2351"/>
      <c r="X670" s="2351"/>
      <c r="Y670" s="2351"/>
      <c r="Z670" s="2351"/>
      <c r="AA670" s="2351"/>
      <c r="AB670" s="2351"/>
      <c r="AC670" s="2351"/>
      <c r="AD670" s="385"/>
      <c r="AE670" s="1193"/>
      <c r="AF670" s="1193"/>
      <c r="AG670" s="1193"/>
      <c r="AH670" s="1193"/>
      <c r="AI670" s="1193"/>
      <c r="AJ670" s="1193"/>
      <c r="AK670" s="1193"/>
      <c r="AL670" s="1193"/>
      <c r="AM670" s="438"/>
      <c r="AN670" s="439"/>
    </row>
    <row r="671" spans="1:42" s="398" customFormat="1" ht="12.75" customHeight="1">
      <c r="A671" s="507"/>
      <c r="B671" s="385"/>
      <c r="C671" s="750"/>
      <c r="D671" s="500"/>
      <c r="E671" s="2351"/>
      <c r="F671" s="2351"/>
      <c r="G671" s="2351"/>
      <c r="H671" s="2351"/>
      <c r="I671" s="2351"/>
      <c r="J671" s="2351"/>
      <c r="K671" s="2351"/>
      <c r="L671" s="2351"/>
      <c r="M671" s="2351"/>
      <c r="N671" s="2351"/>
      <c r="O671" s="2351"/>
      <c r="P671" s="2351"/>
      <c r="Q671" s="2351"/>
      <c r="R671" s="2351"/>
      <c r="S671" s="2351"/>
      <c r="T671" s="2351"/>
      <c r="U671" s="2351"/>
      <c r="V671" s="2351"/>
      <c r="W671" s="2351"/>
      <c r="X671" s="2351"/>
      <c r="Y671" s="2351"/>
      <c r="Z671" s="2351"/>
      <c r="AA671" s="2351"/>
      <c r="AB671" s="2351"/>
      <c r="AC671" s="2351"/>
      <c r="AD671" s="385"/>
      <c r="AE671" s="1193"/>
      <c r="AF671" s="1193"/>
      <c r="AG671" s="1193"/>
      <c r="AH671" s="1193"/>
      <c r="AI671" s="1193"/>
      <c r="AJ671" s="1193"/>
      <c r="AK671" s="1193"/>
      <c r="AL671" s="1193"/>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388"/>
      <c r="AD672" s="388"/>
      <c r="AE672" s="385"/>
      <c r="AF672" s="385"/>
      <c r="AG672" s="385"/>
      <c r="AH672" s="385"/>
      <c r="AI672" s="385"/>
      <c r="AJ672" s="385"/>
      <c r="AK672" s="385"/>
      <c r="AL672" s="1193"/>
      <c r="AM672" s="438"/>
      <c r="AN672" s="439"/>
    </row>
    <row r="673" spans="1:42" s="398" customFormat="1" ht="12.75" customHeight="1">
      <c r="B673" s="385"/>
      <c r="C673" s="735"/>
      <c r="D673" s="500" t="s">
        <v>2469</v>
      </c>
      <c r="E673" s="2351" t="s">
        <v>2511</v>
      </c>
      <c r="F673" s="2351"/>
      <c r="G673" s="2351"/>
      <c r="H673" s="2351"/>
      <c r="I673" s="2351"/>
      <c r="J673" s="2351"/>
      <c r="K673" s="2351"/>
      <c r="L673" s="2351"/>
      <c r="M673" s="2351"/>
      <c r="N673" s="2351"/>
      <c r="O673" s="2351"/>
      <c r="P673" s="2351"/>
      <c r="Q673" s="2351"/>
      <c r="R673" s="2351"/>
      <c r="S673" s="2351"/>
      <c r="T673" s="2351"/>
      <c r="U673" s="2351"/>
      <c r="V673" s="2351"/>
      <c r="W673" s="2351"/>
      <c r="X673" s="2351"/>
      <c r="Y673" s="2351"/>
      <c r="Z673" s="2351"/>
      <c r="AA673" s="2351"/>
      <c r="AB673" s="2351"/>
      <c r="AC673" s="2351"/>
      <c r="AD673" s="385"/>
      <c r="AE673" s="385"/>
      <c r="AF673" s="2451" t="s">
        <v>2206</v>
      </c>
      <c r="AG673" s="2451"/>
      <c r="AH673" s="2451"/>
      <c r="AI673" s="2451"/>
      <c r="AJ673" s="2451"/>
      <c r="AK673" s="2451"/>
      <c r="AL673" s="2451"/>
      <c r="AM673" s="438"/>
      <c r="AN673" s="439"/>
    </row>
    <row r="674" spans="1:42" s="398" customFormat="1" ht="12.75" customHeight="1">
      <c r="B674" s="385"/>
      <c r="C674" s="735"/>
      <c r="D674" s="500"/>
      <c r="E674" s="2351"/>
      <c r="F674" s="2351"/>
      <c r="G674" s="2351"/>
      <c r="H674" s="2351"/>
      <c r="I674" s="2351"/>
      <c r="J674" s="2351"/>
      <c r="K674" s="2351"/>
      <c r="L674" s="2351"/>
      <c r="M674" s="2351"/>
      <c r="N674" s="2351"/>
      <c r="O674" s="2351"/>
      <c r="P674" s="2351"/>
      <c r="Q674" s="2351"/>
      <c r="R674" s="2351"/>
      <c r="S674" s="2351"/>
      <c r="T674" s="2351"/>
      <c r="U674" s="2351"/>
      <c r="V674" s="2351"/>
      <c r="W674" s="2351"/>
      <c r="X674" s="2351"/>
      <c r="Y674" s="2351"/>
      <c r="Z674" s="2351"/>
      <c r="AA674" s="2351"/>
      <c r="AB674" s="2351"/>
      <c r="AC674" s="2351"/>
      <c r="AD674" s="385"/>
      <c r="AE674" s="385"/>
      <c r="AF674" s="385"/>
      <c r="AG674" s="385"/>
      <c r="AH674" s="385"/>
      <c r="AI674" s="385"/>
      <c r="AJ674" s="385"/>
      <c r="AK674" s="385"/>
      <c r="AL674" s="385"/>
      <c r="AM674" s="438"/>
      <c r="AN674" s="439"/>
    </row>
    <row r="675" spans="1:42" s="398" customFormat="1" ht="12.75" customHeight="1">
      <c r="B675" s="385"/>
      <c r="C675" s="735"/>
      <c r="D675" s="500"/>
      <c r="E675" s="2351"/>
      <c r="F675" s="2351"/>
      <c r="G675" s="2351"/>
      <c r="H675" s="2351"/>
      <c r="I675" s="2351"/>
      <c r="J675" s="2351"/>
      <c r="K675" s="2351"/>
      <c r="L675" s="2351"/>
      <c r="M675" s="2351"/>
      <c r="N675" s="2351"/>
      <c r="O675" s="2351"/>
      <c r="P675" s="2351"/>
      <c r="Q675" s="2351"/>
      <c r="R675" s="2351"/>
      <c r="S675" s="2351"/>
      <c r="T675" s="2351"/>
      <c r="U675" s="2351"/>
      <c r="V675" s="2351"/>
      <c r="W675" s="2351"/>
      <c r="X675" s="2351"/>
      <c r="Y675" s="2351"/>
      <c r="Z675" s="2351"/>
      <c r="AA675" s="2351"/>
      <c r="AB675" s="2351"/>
      <c r="AC675" s="2351"/>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210"/>
      <c r="B677" s="385"/>
      <c r="C677" s="735"/>
      <c r="D677" s="500" t="s">
        <v>2497</v>
      </c>
      <c r="E677" s="2351" t="s">
        <v>2512</v>
      </c>
      <c r="F677" s="2351"/>
      <c r="G677" s="2351"/>
      <c r="H677" s="2351"/>
      <c r="I677" s="2351"/>
      <c r="J677" s="2351"/>
      <c r="K677" s="2351"/>
      <c r="L677" s="2351"/>
      <c r="M677" s="2351"/>
      <c r="N677" s="2351"/>
      <c r="O677" s="2351"/>
      <c r="P677" s="2351"/>
      <c r="Q677" s="2351"/>
      <c r="R677" s="2351"/>
      <c r="S677" s="2351"/>
      <c r="T677" s="2351"/>
      <c r="U677" s="2351"/>
      <c r="V677" s="2351"/>
      <c r="W677" s="2351"/>
      <c r="X677" s="2351"/>
      <c r="Y677" s="2351"/>
      <c r="Z677" s="2351"/>
      <c r="AA677" s="2351"/>
      <c r="AB677" s="2351"/>
      <c r="AC677" s="2351"/>
      <c r="AD677" s="385"/>
      <c r="AE677" s="385"/>
      <c r="AF677" s="2451" t="s">
        <v>2496</v>
      </c>
      <c r="AG677" s="2451"/>
      <c r="AH677" s="2451"/>
      <c r="AI677" s="2451"/>
      <c r="AJ677" s="2451"/>
      <c r="AK677" s="2451"/>
      <c r="AL677" s="2451"/>
      <c r="AM677" s="438"/>
      <c r="AN677" s="439"/>
    </row>
    <row r="678" spans="1:42" s="398" customFormat="1" ht="12.75" customHeight="1">
      <c r="A678" s="1210"/>
      <c r="B678" s="385"/>
      <c r="C678" s="735"/>
      <c r="D678" s="500"/>
      <c r="E678" s="2351"/>
      <c r="F678" s="2351"/>
      <c r="G678" s="2351"/>
      <c r="H678" s="2351"/>
      <c r="I678" s="2351"/>
      <c r="J678" s="2351"/>
      <c r="K678" s="2351"/>
      <c r="L678" s="2351"/>
      <c r="M678" s="2351"/>
      <c r="N678" s="2351"/>
      <c r="O678" s="2351"/>
      <c r="P678" s="2351"/>
      <c r="Q678" s="2351"/>
      <c r="R678" s="2351"/>
      <c r="S678" s="2351"/>
      <c r="T678" s="2351"/>
      <c r="U678" s="2351"/>
      <c r="V678" s="2351"/>
      <c r="W678" s="2351"/>
      <c r="X678" s="2351"/>
      <c r="Y678" s="2351"/>
      <c r="Z678" s="2351"/>
      <c r="AA678" s="2351"/>
      <c r="AB678" s="2351"/>
      <c r="AC678" s="2351"/>
      <c r="AD678" s="385"/>
      <c r="AE678" s="385"/>
      <c r="AF678" s="1193"/>
      <c r="AG678" s="1193"/>
      <c r="AH678" s="1193"/>
      <c r="AI678" s="1193"/>
      <c r="AJ678" s="1193"/>
      <c r="AK678" s="1193"/>
      <c r="AL678" s="1193"/>
      <c r="AM678" s="438"/>
      <c r="AN678" s="439"/>
    </row>
    <row r="679" spans="1:42" s="398" customFormat="1" ht="12.75" customHeight="1">
      <c r="A679" s="1210"/>
      <c r="B679" s="385"/>
      <c r="C679" s="735"/>
      <c r="D679" s="500"/>
      <c r="E679" s="2351"/>
      <c r="F679" s="2351"/>
      <c r="G679" s="2351"/>
      <c r="H679" s="2351"/>
      <c r="I679" s="2351"/>
      <c r="J679" s="2351"/>
      <c r="K679" s="2351"/>
      <c r="L679" s="2351"/>
      <c r="M679" s="2351"/>
      <c r="N679" s="2351"/>
      <c r="O679" s="2351"/>
      <c r="P679" s="2351"/>
      <c r="Q679" s="2351"/>
      <c r="R679" s="2351"/>
      <c r="S679" s="2351"/>
      <c r="T679" s="2351"/>
      <c r="U679" s="2351"/>
      <c r="V679" s="2351"/>
      <c r="W679" s="2351"/>
      <c r="X679" s="2351"/>
      <c r="Y679" s="2351"/>
      <c r="Z679" s="2351"/>
      <c r="AA679" s="2351"/>
      <c r="AB679" s="2351"/>
      <c r="AC679" s="2351"/>
      <c r="AD679" s="385"/>
      <c r="AE679" s="1193"/>
      <c r="AF679" s="1193"/>
      <c r="AG679" s="1193"/>
      <c r="AH679" s="1193"/>
      <c r="AI679" s="1193"/>
      <c r="AJ679" s="1193"/>
      <c r="AK679" s="1193"/>
      <c r="AL679" s="1193"/>
      <c r="AM679" s="438"/>
      <c r="AN679" s="439"/>
    </row>
    <row r="680" spans="1:42" s="398" customFormat="1" ht="12.75" customHeight="1">
      <c r="A680" s="1210"/>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193"/>
      <c r="AF680" s="385"/>
      <c r="AG680" s="385"/>
      <c r="AH680" s="385"/>
      <c r="AI680" s="385"/>
      <c r="AJ680" s="385"/>
      <c r="AK680" s="385"/>
      <c r="AL680" s="385"/>
      <c r="AM680" s="438"/>
      <c r="AN680" s="439"/>
      <c r="AO680" s="398" t="s">
        <v>798</v>
      </c>
      <c r="AP680" s="477">
        <v>0</v>
      </c>
    </row>
    <row r="681" spans="1:42" s="398" customFormat="1" ht="12.75" customHeight="1">
      <c r="A681" s="1210"/>
      <c r="B681" s="385"/>
      <c r="C681" s="735"/>
      <c r="D681" s="500" t="s">
        <v>2499</v>
      </c>
      <c r="E681" s="2351" t="s">
        <v>2513</v>
      </c>
      <c r="F681" s="2351"/>
      <c r="G681" s="2351"/>
      <c r="H681" s="2351"/>
      <c r="I681" s="2351"/>
      <c r="J681" s="2351"/>
      <c r="K681" s="2351"/>
      <c r="L681" s="2351"/>
      <c r="M681" s="2351"/>
      <c r="N681" s="2351"/>
      <c r="O681" s="2351"/>
      <c r="P681" s="2351"/>
      <c r="Q681" s="2351"/>
      <c r="R681" s="2351"/>
      <c r="S681" s="2351"/>
      <c r="T681" s="2351"/>
      <c r="U681" s="2351"/>
      <c r="V681" s="2351"/>
      <c r="W681" s="2351"/>
      <c r="X681" s="2351"/>
      <c r="Y681" s="2351"/>
      <c r="Z681" s="2351"/>
      <c r="AA681" s="2351"/>
      <c r="AB681" s="2351"/>
      <c r="AC681" s="2351"/>
      <c r="AD681" s="385"/>
      <c r="AE681" s="385"/>
      <c r="AF681" s="2451" t="s">
        <v>2514</v>
      </c>
      <c r="AG681" s="2451"/>
      <c r="AH681" s="2451"/>
      <c r="AI681" s="2451"/>
      <c r="AJ681" s="2451"/>
      <c r="AK681" s="2451"/>
      <c r="AL681" s="2451"/>
      <c r="AM681" s="438"/>
      <c r="AN681" s="439"/>
      <c r="AO681" s="452" t="s">
        <v>22</v>
      </c>
      <c r="AP681" s="398">
        <v>3</v>
      </c>
    </row>
    <row r="682" spans="1:42" s="398" customFormat="1" ht="12.75" customHeight="1">
      <c r="A682" s="1210"/>
      <c r="B682" s="385"/>
      <c r="C682" s="735"/>
      <c r="D682" s="500"/>
      <c r="E682" s="2351"/>
      <c r="F682" s="2351"/>
      <c r="G682" s="2351"/>
      <c r="H682" s="2351"/>
      <c r="I682" s="2351"/>
      <c r="J682" s="2351"/>
      <c r="K682" s="2351"/>
      <c r="L682" s="2351"/>
      <c r="M682" s="2351"/>
      <c r="N682" s="2351"/>
      <c r="O682" s="2351"/>
      <c r="P682" s="2351"/>
      <c r="Q682" s="2351"/>
      <c r="R682" s="2351"/>
      <c r="S682" s="2351"/>
      <c r="T682" s="2351"/>
      <c r="U682" s="2351"/>
      <c r="V682" s="2351"/>
      <c r="W682" s="2351"/>
      <c r="X682" s="2351"/>
      <c r="Y682" s="2351"/>
      <c r="Z682" s="2351"/>
      <c r="AA682" s="2351"/>
      <c r="AB682" s="2351"/>
      <c r="AC682" s="2351"/>
      <c r="AD682" s="385"/>
      <c r="AE682" s="385"/>
      <c r="AF682" s="1193"/>
      <c r="AG682" s="1193"/>
      <c r="AH682" s="1193"/>
      <c r="AI682" s="1193"/>
      <c r="AJ682" s="1193"/>
      <c r="AK682" s="1193"/>
      <c r="AL682" s="1193"/>
      <c r="AM682" s="438"/>
      <c r="AN682" s="439"/>
      <c r="AO682" s="452" t="s">
        <v>27</v>
      </c>
      <c r="AP682" s="398">
        <v>2</v>
      </c>
    </row>
    <row r="683" spans="1:42" s="398" customFormat="1" ht="12.75" customHeight="1">
      <c r="A683" s="1210"/>
      <c r="B683" s="385"/>
      <c r="C683" s="735"/>
      <c r="D683" s="500"/>
      <c r="E683" s="2351"/>
      <c r="F683" s="2351"/>
      <c r="G683" s="2351"/>
      <c r="H683" s="2351"/>
      <c r="I683" s="2351"/>
      <c r="J683" s="2351"/>
      <c r="K683" s="2351"/>
      <c r="L683" s="2351"/>
      <c r="M683" s="2351"/>
      <c r="N683" s="2351"/>
      <c r="O683" s="2351"/>
      <c r="P683" s="2351"/>
      <c r="Q683" s="2351"/>
      <c r="R683" s="2351"/>
      <c r="S683" s="2351"/>
      <c r="T683" s="2351"/>
      <c r="U683" s="2351"/>
      <c r="V683" s="2351"/>
      <c r="W683" s="2351"/>
      <c r="X683" s="2351"/>
      <c r="Y683" s="2351"/>
      <c r="Z683" s="2351"/>
      <c r="AA683" s="2351"/>
      <c r="AB683" s="2351"/>
      <c r="AC683" s="2351"/>
      <c r="AD683" s="385"/>
      <c r="AE683" s="1193"/>
      <c r="AF683" s="1193"/>
      <c r="AG683" s="1193"/>
      <c r="AH683" s="1193"/>
      <c r="AI683" s="1193"/>
      <c r="AJ683" s="1193"/>
      <c r="AK683" s="1193"/>
      <c r="AL683" s="1193"/>
      <c r="AM683" s="438"/>
      <c r="AN683" s="439"/>
    </row>
    <row r="684" spans="1:42" s="398" customFormat="1" ht="12.75" customHeight="1">
      <c r="A684" s="507"/>
      <c r="B684" s="385"/>
      <c r="C684" s="750"/>
      <c r="D684" s="500"/>
      <c r="E684" s="1200"/>
      <c r="F684" s="1200"/>
      <c r="G684" s="1200"/>
      <c r="H684" s="1200"/>
      <c r="I684" s="1200"/>
      <c r="J684" s="1200"/>
      <c r="K684" s="1200"/>
      <c r="L684" s="1200"/>
      <c r="M684" s="1200"/>
      <c r="N684" s="1200"/>
      <c r="O684" s="1200"/>
      <c r="P684" s="1200"/>
      <c r="Q684" s="1200"/>
      <c r="R684" s="1200"/>
      <c r="S684" s="1200"/>
      <c r="T684" s="1200"/>
      <c r="U684" s="1200"/>
      <c r="V684" s="1200"/>
      <c r="W684" s="1200"/>
      <c r="X684" s="1200"/>
      <c r="Y684" s="1200"/>
      <c r="Z684" s="1200"/>
      <c r="AA684" s="1200"/>
      <c r="AB684" s="1200"/>
      <c r="AC684" s="1200"/>
      <c r="AD684" s="385"/>
      <c r="AE684" s="1193"/>
      <c r="AF684" s="1193"/>
      <c r="AG684" s="1193"/>
      <c r="AH684" s="1193"/>
      <c r="AI684" s="1193"/>
      <c r="AJ684" s="1193"/>
      <c r="AK684" s="1193"/>
      <c r="AL684" s="1193"/>
      <c r="AM684" s="438"/>
      <c r="AN684" s="439"/>
    </row>
    <row r="685" spans="1:42" s="398" customFormat="1" ht="12.75" customHeight="1">
      <c r="A685" s="1210"/>
      <c r="B685" s="385"/>
      <c r="C685" s="735"/>
      <c r="D685" s="385" t="s">
        <v>2482</v>
      </c>
      <c r="E685" s="1212"/>
      <c r="F685" s="1212"/>
      <c r="G685" s="1212"/>
      <c r="H685" s="2375" t="s">
        <v>27</v>
      </c>
      <c r="I685" s="2375"/>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210"/>
      <c r="B686" s="385"/>
      <c r="C686" s="735"/>
      <c r="D686" s="385"/>
      <c r="E686" s="1212"/>
      <c r="F686" s="1212"/>
      <c r="G686" s="456"/>
      <c r="H686" s="456"/>
      <c r="I686" s="456"/>
      <c r="J686" s="456"/>
      <c r="K686" s="456"/>
      <c r="L686" s="456"/>
      <c r="M686" s="456"/>
      <c r="N686" s="456"/>
      <c r="O686" s="456"/>
      <c r="P686" s="456"/>
      <c r="Q686" s="456"/>
      <c r="R686" s="456"/>
      <c r="S686" s="456"/>
      <c r="T686" s="456"/>
      <c r="U686" s="456"/>
      <c r="V686" s="456"/>
      <c r="W686" s="456"/>
      <c r="X686" s="456"/>
      <c r="Y686" s="456"/>
      <c r="Z686" s="1212"/>
      <c r="AA686" s="1212"/>
      <c r="AB686" s="1212"/>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2515</v>
      </c>
      <c r="AJ687" s="2358">
        <f>VLOOKUP($H$685,$AO$633:$AP$640,2,FALSE)</f>
        <v>4</v>
      </c>
      <c r="AK687" s="2360"/>
      <c r="AL687" s="437"/>
      <c r="AN687" s="439"/>
    </row>
    <row r="688" spans="1:42" s="398" customFormat="1" ht="12.75" customHeight="1">
      <c r="A688" s="1210"/>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197"/>
      <c r="AE688" s="385"/>
      <c r="AF688" s="385"/>
      <c r="AG688" s="385"/>
      <c r="AH688" s="385"/>
      <c r="AI688" s="385"/>
      <c r="AJ688" s="385"/>
      <c r="AK688" s="385"/>
      <c r="AL688" s="385"/>
      <c r="AN688" s="439"/>
    </row>
    <row r="689" spans="1:51" s="398" customFormat="1" ht="12.75" customHeight="1">
      <c r="A689" s="1210"/>
      <c r="B689" s="385"/>
      <c r="C689" s="388" t="s">
        <v>2516</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197"/>
      <c r="AE689" s="385"/>
      <c r="AF689" s="385"/>
      <c r="AG689" s="385"/>
      <c r="AH689" s="385"/>
      <c r="AI689" s="385"/>
      <c r="AJ689" s="385"/>
      <c r="AK689" s="385"/>
      <c r="AL689" s="385"/>
      <c r="AN689" s="439"/>
      <c r="AW689" s="17" t="s">
        <v>2517</v>
      </c>
      <c r="AX689" s="398">
        <f>Application!Q212</f>
        <v>0</v>
      </c>
    </row>
    <row r="690" spans="1:51" s="398" customFormat="1" ht="12.75" customHeight="1">
      <c r="A690" s="1210"/>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2518</v>
      </c>
      <c r="AX690" s="935">
        <f>Application!G753</f>
        <v>52</v>
      </c>
    </row>
    <row r="691" spans="1:51" s="398" customFormat="1" ht="12.75" customHeight="1">
      <c r="A691" s="1210"/>
      <c r="B691" s="385"/>
      <c r="C691" s="751"/>
      <c r="D691" s="500" t="s">
        <v>22</v>
      </c>
      <c r="E691" s="2321" t="s">
        <v>2519</v>
      </c>
      <c r="F691" s="2321"/>
      <c r="G691" s="2321"/>
      <c r="H691" s="2321"/>
      <c r="I691" s="2321"/>
      <c r="J691" s="2321"/>
      <c r="K691" s="2321"/>
      <c r="L691" s="2321"/>
      <c r="M691" s="2321"/>
      <c r="N691" s="2321"/>
      <c r="O691" s="2321"/>
      <c r="P691" s="2321"/>
      <c r="Q691" s="2321"/>
      <c r="R691" s="2321"/>
      <c r="S691" s="2321"/>
      <c r="T691" s="2321"/>
      <c r="U691" s="2321"/>
      <c r="V691" s="2321"/>
      <c r="W691" s="2321"/>
      <c r="X691" s="2321"/>
      <c r="Y691" s="2321"/>
      <c r="Z691" s="2321"/>
      <c r="AA691" s="2321"/>
      <c r="AB691" s="2321"/>
      <c r="AC691" s="385"/>
      <c r="AD691" s="385"/>
      <c r="AE691" s="385"/>
      <c r="AF691" s="2451" t="s">
        <v>2206</v>
      </c>
      <c r="AG691" s="2451"/>
      <c r="AH691" s="2451"/>
      <c r="AI691" s="2451"/>
      <c r="AJ691" s="2451"/>
      <c r="AK691" s="2451"/>
      <c r="AL691" s="2451"/>
      <c r="AN691" s="439"/>
      <c r="AW691" s="17" t="s">
        <v>2520</v>
      </c>
      <c r="AX691" s="398">
        <f>Application!DE753</f>
        <v>22</v>
      </c>
    </row>
    <row r="692" spans="1:51" s="398" customFormat="1" ht="12.75" customHeight="1">
      <c r="A692" s="1210"/>
      <c r="B692" s="385"/>
      <c r="C692" s="751"/>
      <c r="D692" s="500"/>
      <c r="E692" s="2321"/>
      <c r="F692" s="2321"/>
      <c r="G692" s="2321"/>
      <c r="H692" s="2321"/>
      <c r="I692" s="2321"/>
      <c r="J692" s="2321"/>
      <c r="K692" s="2321"/>
      <c r="L692" s="2321"/>
      <c r="M692" s="2321"/>
      <c r="N692" s="2321"/>
      <c r="O692" s="2321"/>
      <c r="P692" s="2321"/>
      <c r="Q692" s="2321"/>
      <c r="R692" s="2321"/>
      <c r="S692" s="2321"/>
      <c r="T692" s="2321"/>
      <c r="U692" s="2321"/>
      <c r="V692" s="2321"/>
      <c r="W692" s="2321"/>
      <c r="X692" s="2321"/>
      <c r="Y692" s="2321"/>
      <c r="Z692" s="2321"/>
      <c r="AA692" s="2321"/>
      <c r="AB692" s="2321"/>
      <c r="AC692" s="385"/>
      <c r="AD692" s="385"/>
      <c r="AE692" s="385"/>
      <c r="AF692" s="385"/>
      <c r="AG692" s="385"/>
      <c r="AH692" s="385"/>
      <c r="AI692" s="385"/>
      <c r="AJ692" s="385"/>
      <c r="AK692" s="385"/>
      <c r="AL692" s="385"/>
      <c r="AN692" s="439"/>
      <c r="AW692" s="17" t="s">
        <v>2521</v>
      </c>
      <c r="AX692" s="398">
        <f>Application!DJ753</f>
        <v>0</v>
      </c>
    </row>
    <row r="693" spans="1:51" s="398" customFormat="1" ht="12.75" customHeight="1">
      <c r="A693" s="1210"/>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2522</v>
      </c>
      <c r="AX693" s="398">
        <f>Application!DO753</f>
        <v>0</v>
      </c>
    </row>
    <row r="694" spans="1:51" s="398" customFormat="1" ht="12.75" customHeight="1">
      <c r="B694" s="385"/>
      <c r="C694" s="735"/>
      <c r="D694" s="500" t="s">
        <v>27</v>
      </c>
      <c r="E694" s="2351" t="s">
        <v>2523</v>
      </c>
      <c r="F694" s="2351"/>
      <c r="G694" s="2351"/>
      <c r="H694" s="2351"/>
      <c r="I694" s="2351"/>
      <c r="J694" s="2351"/>
      <c r="K694" s="2351"/>
      <c r="L694" s="2351"/>
      <c r="M694" s="2351"/>
      <c r="N694" s="2351"/>
      <c r="O694" s="2351"/>
      <c r="P694" s="2351"/>
      <c r="Q694" s="2351"/>
      <c r="R694" s="2351"/>
      <c r="S694" s="2351"/>
      <c r="T694" s="2351"/>
      <c r="U694" s="2351"/>
      <c r="V694" s="2351"/>
      <c r="W694" s="2351"/>
      <c r="X694" s="2351"/>
      <c r="Y694" s="2351"/>
      <c r="Z694" s="2351"/>
      <c r="AA694" s="2351"/>
      <c r="AB694" s="2351"/>
      <c r="AC694" s="385"/>
      <c r="AD694" s="385"/>
      <c r="AE694" s="385"/>
      <c r="AF694" s="2451" t="s">
        <v>2206</v>
      </c>
      <c r="AG694" s="2451"/>
      <c r="AH694" s="2451"/>
      <c r="AI694" s="2451"/>
      <c r="AJ694" s="2451"/>
      <c r="AK694" s="2451"/>
      <c r="AL694" s="2451"/>
      <c r="AN694" s="439"/>
      <c r="AW694" s="17" t="s">
        <v>2524</v>
      </c>
      <c r="AX694" s="398">
        <f>AX691+AX692+AX693</f>
        <v>22</v>
      </c>
    </row>
    <row r="695" spans="1:51" s="398" customFormat="1" ht="12.75" customHeight="1">
      <c r="B695" s="385"/>
      <c r="C695" s="743"/>
      <c r="D695" s="500"/>
      <c r="E695" s="2351"/>
      <c r="F695" s="2351"/>
      <c r="G695" s="2351"/>
      <c r="H695" s="2351"/>
      <c r="I695" s="2351"/>
      <c r="J695" s="2351"/>
      <c r="K695" s="2351"/>
      <c r="L695" s="2351"/>
      <c r="M695" s="2351"/>
      <c r="N695" s="2351"/>
      <c r="O695" s="2351"/>
      <c r="P695" s="2351"/>
      <c r="Q695" s="2351"/>
      <c r="R695" s="2351"/>
      <c r="S695" s="2351"/>
      <c r="T695" s="2351"/>
      <c r="U695" s="2351"/>
      <c r="V695" s="2351"/>
      <c r="W695" s="2351"/>
      <c r="X695" s="2351"/>
      <c r="Y695" s="2351"/>
      <c r="Z695" s="2351"/>
      <c r="AA695" s="2351"/>
      <c r="AB695" s="2351"/>
      <c r="AC695" s="385"/>
      <c r="AD695" s="385"/>
      <c r="AE695" s="456"/>
      <c r="AF695" s="385"/>
      <c r="AG695" s="385"/>
      <c r="AH695" s="385"/>
      <c r="AI695" s="385"/>
      <c r="AJ695" s="385"/>
      <c r="AK695" s="385"/>
      <c r="AL695" s="385"/>
      <c r="AN695" s="439"/>
      <c r="AO695" s="2365" t="b">
        <f>IF(Application!D211="Special Needs",IF(AY695&gt;=0.25,TRUE,FALSE),IF(AX695&gt;=0.25,TRUE,FALSE))</f>
        <v>1</v>
      </c>
      <c r="AP695" s="2365"/>
      <c r="AW695" s="17" t="s">
        <v>1967</v>
      </c>
      <c r="AX695" s="398">
        <f>IFERROR(AX694/AX690,0)</f>
        <v>0.42307692307692307</v>
      </c>
      <c r="AY695" s="398">
        <f>IFERROR(AX694/(AX690-AX689),0)</f>
        <v>0.42307692307692307</v>
      </c>
    </row>
    <row r="696" spans="1:51" s="398" customFormat="1" ht="12.75" customHeight="1">
      <c r="B696" s="385"/>
      <c r="C696" s="743"/>
      <c r="E696" s="2351"/>
      <c r="F696" s="2351"/>
      <c r="G696" s="2351"/>
      <c r="H696" s="2351"/>
      <c r="I696" s="2351"/>
      <c r="J696" s="2351"/>
      <c r="K696" s="2351"/>
      <c r="L696" s="2351"/>
      <c r="M696" s="2351"/>
      <c r="N696" s="2351"/>
      <c r="O696" s="2351"/>
      <c r="P696" s="2351"/>
      <c r="Q696" s="2351"/>
      <c r="R696" s="2351"/>
      <c r="S696" s="2351"/>
      <c r="T696" s="2351"/>
      <c r="U696" s="2351"/>
      <c r="V696" s="2351"/>
      <c r="W696" s="2351"/>
      <c r="X696" s="2351"/>
      <c r="Y696" s="2351"/>
      <c r="Z696" s="2351"/>
      <c r="AA696" s="2351"/>
      <c r="AB696" s="2351"/>
      <c r="AC696" s="385"/>
      <c r="AD696" s="385"/>
      <c r="AE696" s="456"/>
      <c r="AF696" s="456"/>
      <c r="AG696" s="456"/>
      <c r="AH696" s="456"/>
      <c r="AI696" s="456"/>
      <c r="AJ696" s="456"/>
      <c r="AK696" s="456"/>
      <c r="AL696" s="456"/>
      <c r="AN696" s="439"/>
      <c r="AW696" s="11"/>
    </row>
    <row r="697" spans="1:51" s="398" customFormat="1" ht="28.5" customHeight="1">
      <c r="B697" s="385"/>
      <c r="C697" s="743"/>
      <c r="D697" s="385"/>
      <c r="E697" s="2351"/>
      <c r="F697" s="2351"/>
      <c r="G697" s="2351"/>
      <c r="H697" s="2351"/>
      <c r="I697" s="2351"/>
      <c r="J697" s="2351"/>
      <c r="K697" s="2351"/>
      <c r="L697" s="2351"/>
      <c r="M697" s="2351"/>
      <c r="N697" s="2351"/>
      <c r="O697" s="2351"/>
      <c r="P697" s="2351"/>
      <c r="Q697" s="2351"/>
      <c r="R697" s="2351"/>
      <c r="S697" s="2351"/>
      <c r="T697" s="2351"/>
      <c r="U697" s="2351"/>
      <c r="V697" s="2351"/>
      <c r="W697" s="2351"/>
      <c r="X697" s="2351"/>
      <c r="Y697" s="2351"/>
      <c r="Z697" s="2351"/>
      <c r="AA697" s="2351"/>
      <c r="AB697" s="2351"/>
      <c r="AC697" s="385"/>
      <c r="AD697" s="385"/>
      <c r="AE697" s="456"/>
      <c r="AF697" s="456"/>
      <c r="AG697" s="456"/>
      <c r="AH697" s="456"/>
      <c r="AI697" s="456"/>
      <c r="AJ697" s="456"/>
      <c r="AK697" s="456"/>
      <c r="AL697" s="456"/>
      <c r="AN697" s="439"/>
      <c r="AO697" s="398" t="s">
        <v>798</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2351" t="s">
        <v>2525</v>
      </c>
      <c r="F699" s="2351"/>
      <c r="G699" s="2351"/>
      <c r="H699" s="2351"/>
      <c r="I699" s="2351"/>
      <c r="J699" s="2351"/>
      <c r="K699" s="2351"/>
      <c r="L699" s="2351"/>
      <c r="M699" s="2351"/>
      <c r="N699" s="2351"/>
      <c r="O699" s="2351"/>
      <c r="P699" s="2351"/>
      <c r="Q699" s="2351"/>
      <c r="R699" s="2351"/>
      <c r="S699" s="2351"/>
      <c r="T699" s="2351"/>
      <c r="U699" s="2351"/>
      <c r="V699" s="2351"/>
      <c r="W699" s="2351"/>
      <c r="X699" s="2351"/>
      <c r="Y699" s="2351"/>
      <c r="Z699" s="2351"/>
      <c r="AA699" s="2351"/>
      <c r="AB699" s="2351"/>
      <c r="AC699" s="385"/>
      <c r="AD699" s="385"/>
      <c r="AE699" s="385"/>
      <c r="AF699" s="2451" t="s">
        <v>2496</v>
      </c>
      <c r="AG699" s="2451"/>
      <c r="AH699" s="2451"/>
      <c r="AI699" s="2451"/>
      <c r="AJ699" s="2451"/>
      <c r="AK699" s="2451"/>
      <c r="AL699" s="2451"/>
      <c r="AN699" s="439"/>
      <c r="AO699" s="452" t="s">
        <v>27</v>
      </c>
      <c r="AP699" s="398">
        <v>1</v>
      </c>
    </row>
    <row r="700" spans="1:51" s="398" customFormat="1" ht="12" customHeight="1">
      <c r="B700" s="385"/>
      <c r="C700" s="735"/>
      <c r="E700" s="2351"/>
      <c r="F700" s="2351"/>
      <c r="G700" s="2351"/>
      <c r="H700" s="2351"/>
      <c r="I700" s="2351"/>
      <c r="J700" s="2351"/>
      <c r="K700" s="2351"/>
      <c r="L700" s="2351"/>
      <c r="M700" s="2351"/>
      <c r="N700" s="2351"/>
      <c r="O700" s="2351"/>
      <c r="P700" s="2351"/>
      <c r="Q700" s="2351"/>
      <c r="R700" s="2351"/>
      <c r="S700" s="2351"/>
      <c r="T700" s="2351"/>
      <c r="U700" s="2351"/>
      <c r="V700" s="2351"/>
      <c r="W700" s="2351"/>
      <c r="X700" s="2351"/>
      <c r="Y700" s="2351"/>
      <c r="Z700" s="2351"/>
      <c r="AA700" s="2351"/>
      <c r="AB700" s="2351"/>
      <c r="AC700" s="385"/>
      <c r="AD700" s="385"/>
      <c r="AE700" s="456"/>
      <c r="AF700" s="385"/>
      <c r="AG700" s="385"/>
      <c r="AH700" s="385"/>
      <c r="AI700" s="385"/>
      <c r="AJ700" s="385"/>
      <c r="AK700" s="385"/>
      <c r="AL700" s="385"/>
      <c r="AN700" s="439"/>
    </row>
    <row r="701" spans="1:51" s="398" customFormat="1" ht="12" customHeight="1">
      <c r="B701" s="385"/>
      <c r="C701" s="735"/>
      <c r="D701" s="385"/>
      <c r="E701" s="2351"/>
      <c r="F701" s="2351"/>
      <c r="G701" s="2351"/>
      <c r="H701" s="2351"/>
      <c r="I701" s="2351"/>
      <c r="J701" s="2351"/>
      <c r="K701" s="2351"/>
      <c r="L701" s="2351"/>
      <c r="M701" s="2351"/>
      <c r="N701" s="2351"/>
      <c r="O701" s="2351"/>
      <c r="P701" s="2351"/>
      <c r="Q701" s="2351"/>
      <c r="R701" s="2351"/>
      <c r="S701" s="2351"/>
      <c r="T701" s="2351"/>
      <c r="U701" s="2351"/>
      <c r="V701" s="2351"/>
      <c r="W701" s="2351"/>
      <c r="X701" s="2351"/>
      <c r="Y701" s="2351"/>
      <c r="Z701" s="2351"/>
      <c r="AA701" s="2351"/>
      <c r="AB701" s="2351"/>
      <c r="AC701" s="385"/>
      <c r="AD701" s="385"/>
      <c r="AE701" s="456"/>
      <c r="AF701" s="385"/>
      <c r="AG701" s="385"/>
      <c r="AH701" s="385"/>
      <c r="AI701" s="385"/>
      <c r="AJ701" s="385"/>
      <c r="AK701" s="385"/>
      <c r="AL701" s="385"/>
      <c r="AN701" s="439"/>
    </row>
    <row r="702" spans="1:51" s="398" customFormat="1" ht="12" customHeight="1">
      <c r="B702" s="385"/>
      <c r="C702" s="735"/>
      <c r="D702" s="385"/>
      <c r="E702" s="2351"/>
      <c r="F702" s="2351"/>
      <c r="G702" s="2351"/>
      <c r="H702" s="2351"/>
      <c r="I702" s="2351"/>
      <c r="J702" s="2351"/>
      <c r="K702" s="2351"/>
      <c r="L702" s="2351"/>
      <c r="M702" s="2351"/>
      <c r="N702" s="2351"/>
      <c r="O702" s="2351"/>
      <c r="P702" s="2351"/>
      <c r="Q702" s="2351"/>
      <c r="R702" s="2351"/>
      <c r="S702" s="2351"/>
      <c r="T702" s="2351"/>
      <c r="U702" s="2351"/>
      <c r="V702" s="2351"/>
      <c r="W702" s="2351"/>
      <c r="X702" s="2351"/>
      <c r="Y702" s="2351"/>
      <c r="Z702" s="2351"/>
      <c r="AA702" s="2351"/>
      <c r="AB702" s="2351"/>
      <c r="AC702" s="385"/>
      <c r="AD702" s="385"/>
      <c r="AE702" s="456"/>
      <c r="AF702" s="385"/>
      <c r="AG702" s="385"/>
      <c r="AH702" s="385"/>
      <c r="AI702" s="385"/>
      <c r="AJ702" s="385"/>
      <c r="AK702" s="385"/>
      <c r="AL702" s="385"/>
      <c r="AN702" s="439"/>
    </row>
    <row r="703" spans="1:51" s="416" customFormat="1" ht="13" customHeight="1">
      <c r="A703" s="398"/>
      <c r="B703" s="385"/>
      <c r="C703" s="735"/>
      <c r="D703" s="385"/>
      <c r="E703" s="2351"/>
      <c r="F703" s="2351"/>
      <c r="G703" s="2351"/>
      <c r="H703" s="2351"/>
      <c r="I703" s="2351"/>
      <c r="J703" s="2351"/>
      <c r="K703" s="2351"/>
      <c r="L703" s="2351"/>
      <c r="M703" s="2351"/>
      <c r="N703" s="2351"/>
      <c r="O703" s="2351"/>
      <c r="P703" s="2351"/>
      <c r="Q703" s="2351"/>
      <c r="R703" s="2351"/>
      <c r="S703" s="2351"/>
      <c r="T703" s="2351"/>
      <c r="U703" s="2351"/>
      <c r="V703" s="2351"/>
      <c r="W703" s="2351"/>
      <c r="X703" s="2351"/>
      <c r="Y703" s="2351"/>
      <c r="Z703" s="2351"/>
      <c r="AA703" s="2351"/>
      <c r="AB703" s="2351"/>
      <c r="AC703" s="385"/>
      <c r="AD703" s="385"/>
      <c r="AE703" s="456"/>
      <c r="AF703" s="456"/>
      <c r="AG703" s="456"/>
      <c r="AH703" s="456"/>
      <c r="AI703" s="456"/>
      <c r="AJ703" s="385"/>
      <c r="AK703" s="385"/>
      <c r="AL703" s="385"/>
      <c r="AM703" s="398"/>
      <c r="AN703" s="520"/>
      <c r="AO703" s="398" t="s">
        <v>798</v>
      </c>
      <c r="AP703" s="510">
        <v>0</v>
      </c>
    </row>
    <row r="704" spans="1:51" s="416" customFormat="1" ht="12" customHeight="1">
      <c r="A704" s="398"/>
      <c r="B704" s="385"/>
      <c r="C704" s="735"/>
      <c r="D704" s="385"/>
      <c r="E704" s="1200"/>
      <c r="F704" s="1200"/>
      <c r="G704" s="1200"/>
      <c r="H704" s="1200"/>
      <c r="I704" s="1200"/>
      <c r="J704" s="1200"/>
      <c r="K704" s="1200"/>
      <c r="L704" s="1200"/>
      <c r="M704" s="1200"/>
      <c r="N704" s="1200"/>
      <c r="O704" s="1200"/>
      <c r="P704" s="1200"/>
      <c r="Q704" s="1200"/>
      <c r="R704" s="1200"/>
      <c r="S704" s="1200"/>
      <c r="T704" s="1200"/>
      <c r="U704" s="1200"/>
      <c r="V704" s="1200"/>
      <c r="W704" s="1200"/>
      <c r="X704" s="1200"/>
      <c r="Y704" s="1200"/>
      <c r="Z704" s="1200"/>
      <c r="AA704" s="1200"/>
      <c r="AB704" s="1200"/>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2351" t="s">
        <v>2526</v>
      </c>
      <c r="F705" s="2351"/>
      <c r="G705" s="2351"/>
      <c r="H705" s="2351"/>
      <c r="I705" s="2351"/>
      <c r="J705" s="2351"/>
      <c r="K705" s="2351"/>
      <c r="L705" s="2351"/>
      <c r="M705" s="2351"/>
      <c r="N705" s="2351"/>
      <c r="O705" s="2351"/>
      <c r="P705" s="2351"/>
      <c r="Q705" s="2351"/>
      <c r="R705" s="2351"/>
      <c r="S705" s="2351"/>
      <c r="T705" s="2351"/>
      <c r="U705" s="2351"/>
      <c r="V705" s="2351"/>
      <c r="W705" s="2351"/>
      <c r="X705" s="2351"/>
      <c r="Y705" s="2351"/>
      <c r="Z705" s="2351"/>
      <c r="AA705" s="2351"/>
      <c r="AB705" s="2351"/>
      <c r="AC705" s="385"/>
      <c r="AD705" s="385"/>
      <c r="AE705" s="456"/>
      <c r="AF705" s="456"/>
      <c r="AG705" s="456"/>
      <c r="AH705" s="456"/>
      <c r="AI705" s="456"/>
      <c r="AJ705" s="385"/>
      <c r="AK705" s="385"/>
      <c r="AL705" s="385"/>
      <c r="AM705" s="398"/>
      <c r="AN705" s="520"/>
      <c r="AO705" s="452" t="s">
        <v>27</v>
      </c>
      <c r="AP705" s="398">
        <f>3*$AO$695</f>
        <v>3</v>
      </c>
    </row>
    <row r="706" spans="1:43" s="416" customFormat="1" ht="12.75" customHeight="1">
      <c r="A706" s="398"/>
      <c r="B706" s="385"/>
      <c r="C706" s="735"/>
      <c r="D706" s="385"/>
      <c r="E706" s="2351"/>
      <c r="F706" s="2351"/>
      <c r="G706" s="2351"/>
      <c r="H706" s="2351"/>
      <c r="I706" s="2351"/>
      <c r="J706" s="2351"/>
      <c r="K706" s="2351"/>
      <c r="L706" s="2351"/>
      <c r="M706" s="2351"/>
      <c r="N706" s="2351"/>
      <c r="O706" s="2351"/>
      <c r="P706" s="2351"/>
      <c r="Q706" s="2351"/>
      <c r="R706" s="2351"/>
      <c r="S706" s="2351"/>
      <c r="T706" s="2351"/>
      <c r="U706" s="2351"/>
      <c r="V706" s="2351"/>
      <c r="W706" s="2351"/>
      <c r="X706" s="2351"/>
      <c r="Y706" s="2351"/>
      <c r="Z706" s="2351"/>
      <c r="AA706" s="2351"/>
      <c r="AB706" s="2351"/>
      <c r="AC706" s="385"/>
      <c r="AD706" s="385"/>
      <c r="AE706" s="456"/>
      <c r="AF706" s="456"/>
      <c r="AG706" s="456"/>
      <c r="AH706" s="456"/>
      <c r="AI706" s="456"/>
      <c r="AJ706" s="385"/>
      <c r="AK706" s="385"/>
      <c r="AL706" s="385"/>
      <c r="AM706" s="398"/>
      <c r="AN706" s="520"/>
      <c r="AO706" s="452" t="s">
        <v>49</v>
      </c>
      <c r="AP706" s="398">
        <f>2*$AO$695</f>
        <v>2</v>
      </c>
    </row>
    <row r="707" spans="1:43" s="416" customFormat="1" ht="12.75" customHeight="1">
      <c r="A707" s="398"/>
      <c r="B707" s="385"/>
      <c r="C707" s="735"/>
      <c r="D707" s="385"/>
      <c r="E707" s="2351"/>
      <c r="F707" s="2351"/>
      <c r="G707" s="2351"/>
      <c r="H707" s="2351"/>
      <c r="I707" s="2351"/>
      <c r="J707" s="2351"/>
      <c r="K707" s="2351"/>
      <c r="L707" s="2351"/>
      <c r="M707" s="2351"/>
      <c r="N707" s="2351"/>
      <c r="O707" s="2351"/>
      <c r="P707" s="2351"/>
      <c r="Q707" s="2351"/>
      <c r="R707" s="2351"/>
      <c r="S707" s="2351"/>
      <c r="T707" s="2351"/>
      <c r="U707" s="2351"/>
      <c r="V707" s="2351"/>
      <c r="W707" s="2351"/>
      <c r="X707" s="2351"/>
      <c r="Y707" s="2351"/>
      <c r="Z707" s="2351"/>
      <c r="AA707" s="2351"/>
      <c r="AB707" s="2351"/>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200"/>
      <c r="F708" s="1200"/>
      <c r="G708" s="1200"/>
      <c r="H708" s="1200"/>
      <c r="I708" s="1200"/>
      <c r="J708" s="1200"/>
      <c r="K708" s="1200"/>
      <c r="L708" s="1200"/>
      <c r="M708" s="1200"/>
      <c r="N708" s="1200"/>
      <c r="O708" s="1200"/>
      <c r="P708" s="1200"/>
      <c r="Q708" s="1200"/>
      <c r="R708" s="1200"/>
      <c r="S708" s="1200"/>
      <c r="T708" s="1200"/>
      <c r="U708" s="1200"/>
      <c r="V708" s="1200"/>
      <c r="W708" s="1200"/>
      <c r="X708" s="1200"/>
      <c r="Y708" s="1200"/>
      <c r="Z708" s="1200"/>
      <c r="AA708" s="1200"/>
      <c r="AB708" s="1200"/>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2482</v>
      </c>
      <c r="E709" s="1212"/>
      <c r="F709" s="1212"/>
      <c r="G709" s="1212"/>
      <c r="H709" s="2375" t="s">
        <v>27</v>
      </c>
      <c r="I709" s="2375"/>
      <c r="J709" s="1200"/>
      <c r="K709" s="1200"/>
      <c r="L709" s="1200"/>
      <c r="M709" s="1200"/>
      <c r="N709" s="1200"/>
      <c r="O709" s="1200"/>
      <c r="P709" s="1200"/>
      <c r="Q709" s="1200"/>
      <c r="R709" s="1200"/>
      <c r="S709" s="1200"/>
      <c r="T709" s="1200"/>
      <c r="U709" s="1200"/>
      <c r="V709" s="1200"/>
      <c r="W709" s="1200"/>
      <c r="X709" s="1200"/>
      <c r="Y709" s="1200"/>
      <c r="Z709" s="1200"/>
      <c r="AA709" s="1200"/>
      <c r="AB709" s="1200"/>
      <c r="AC709" s="385"/>
      <c r="AD709" s="385"/>
      <c r="AE709" s="456"/>
      <c r="AF709" s="456"/>
      <c r="AG709" s="456"/>
      <c r="AH709" s="456"/>
      <c r="AI709" s="456"/>
      <c r="AJ709" s="385"/>
      <c r="AK709" s="385"/>
      <c r="AL709" s="385"/>
      <c r="AM709" s="398"/>
      <c r="AN709" s="520"/>
      <c r="AP709" s="416" t="s">
        <v>2527</v>
      </c>
    </row>
    <row r="710" spans="1:43" s="416" customFormat="1">
      <c r="A710" s="398"/>
      <c r="B710" s="385"/>
      <c r="C710" s="735"/>
      <c r="D710" s="385"/>
      <c r="E710" s="1200"/>
      <c r="F710" s="1200"/>
      <c r="G710" s="1200"/>
      <c r="H710" s="1200"/>
      <c r="I710" s="1200"/>
      <c r="J710" s="1200"/>
      <c r="K710" s="1200"/>
      <c r="L710" s="1200"/>
      <c r="M710" s="1200"/>
      <c r="N710" s="1200"/>
      <c r="O710" s="1200"/>
      <c r="P710" s="1200"/>
      <c r="Q710" s="1200"/>
      <c r="R710" s="1200"/>
      <c r="S710" s="1200"/>
      <c r="T710" s="1200"/>
      <c r="U710" s="1200"/>
      <c r="V710" s="1200"/>
      <c r="W710" s="1200"/>
      <c r="X710" s="1200"/>
      <c r="Y710" s="1200"/>
      <c r="Z710" s="1200"/>
      <c r="AA710" s="1200"/>
      <c r="AB710" s="1200"/>
      <c r="AC710" s="385"/>
      <c r="AD710" s="385"/>
      <c r="AE710" s="456"/>
      <c r="AF710" s="456"/>
      <c r="AG710" s="456"/>
      <c r="AH710" s="456"/>
      <c r="AI710" s="456"/>
      <c r="AJ710" s="385"/>
      <c r="AK710" s="385"/>
      <c r="AL710" s="385"/>
      <c r="AM710" s="398"/>
      <c r="AN710" s="520"/>
      <c r="AP710" s="416" t="s">
        <v>2492</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2528</v>
      </c>
      <c r="AJ711" s="2358">
        <f>VLOOKUP($H$709,$AO$703:$AP$706,2,FALSE)</f>
        <v>3</v>
      </c>
      <c r="AK711" s="2360"/>
      <c r="AL711" s="437"/>
      <c r="AM711" s="398"/>
      <c r="AN711" s="520"/>
      <c r="AP711" s="416" t="s">
        <v>2500</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2529</v>
      </c>
    </row>
    <row r="713" spans="1:43" s="416" customFormat="1" ht="12.75" customHeight="1">
      <c r="A713" s="398"/>
      <c r="B713" s="385"/>
      <c r="C713" s="388" t="s">
        <v>2530</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2531</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2532</v>
      </c>
    </row>
    <row r="715" spans="1:43" s="416" customFormat="1" ht="12.75" customHeight="1">
      <c r="A715" s="477"/>
      <c r="B715" s="385"/>
      <c r="C715" s="735"/>
      <c r="D715" s="500" t="s">
        <v>22</v>
      </c>
      <c r="E715" s="2463" t="s">
        <v>2533</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385"/>
      <c r="AD715" s="385"/>
      <c r="AE715" s="385"/>
      <c r="AF715" s="2451" t="s">
        <v>2206</v>
      </c>
      <c r="AG715" s="2451"/>
      <c r="AH715" s="2451"/>
      <c r="AI715" s="2451"/>
      <c r="AJ715" s="2451"/>
      <c r="AK715" s="2451"/>
      <c r="AL715" s="2451"/>
      <c r="AM715" s="398"/>
      <c r="AN715" s="520"/>
      <c r="AP715" s="416" t="s">
        <v>2534</v>
      </c>
    </row>
    <row r="716" spans="1:43" s="416" customFormat="1" ht="11.9" customHeight="1">
      <c r="A716" s="398"/>
      <c r="B716" s="385"/>
      <c r="C716" s="737"/>
      <c r="D716" s="500"/>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385"/>
      <c r="AD716" s="385"/>
      <c r="AE716" s="385"/>
      <c r="AF716" s="385"/>
      <c r="AG716" s="385"/>
      <c r="AH716" s="385"/>
      <c r="AI716" s="385"/>
      <c r="AJ716" s="385"/>
      <c r="AK716" s="385"/>
      <c r="AL716" s="385"/>
      <c r="AM716" s="398"/>
      <c r="AN716" s="520"/>
      <c r="AP716" s="416" t="s">
        <v>2535</v>
      </c>
    </row>
    <row r="717" spans="1:43" s="416" customFormat="1" ht="14.15" customHeight="1">
      <c r="A717" s="398"/>
      <c r="B717" s="451"/>
      <c r="C717" s="735"/>
      <c r="D717" s="500"/>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385"/>
      <c r="AD717" s="385"/>
      <c r="AE717" s="456"/>
      <c r="AF717" s="385"/>
      <c r="AG717" s="385"/>
      <c r="AH717" s="385"/>
      <c r="AI717" s="385"/>
      <c r="AJ717" s="385"/>
      <c r="AK717" s="385"/>
      <c r="AL717" s="385"/>
      <c r="AM717" s="398"/>
      <c r="AN717" s="520"/>
      <c r="AP717" s="416" t="s">
        <v>2536</v>
      </c>
    </row>
    <row r="718" spans="1:43" s="416" customFormat="1" ht="14.15" customHeight="1">
      <c r="A718" s="398"/>
      <c r="B718" s="451"/>
      <c r="C718" s="735"/>
      <c r="D718" s="500"/>
      <c r="E718" s="1212"/>
      <c r="F718" s="1212"/>
      <c r="G718" s="1212"/>
      <c r="H718" s="1212"/>
      <c r="I718" s="1212"/>
      <c r="J718" s="1212"/>
      <c r="K718" s="1212"/>
      <c r="L718" s="1212"/>
      <c r="M718" s="1212"/>
      <c r="N718" s="1212"/>
      <c r="O718" s="1212"/>
      <c r="P718" s="1212"/>
      <c r="Q718" s="1212"/>
      <c r="R718" s="1212"/>
      <c r="S718" s="1212"/>
      <c r="T718" s="1212"/>
      <c r="U718" s="1212"/>
      <c r="V718" s="1212"/>
      <c r="W718" s="1212"/>
      <c r="X718" s="1212"/>
      <c r="Y718" s="1212"/>
      <c r="Z718" s="1212"/>
      <c r="AA718" s="1212"/>
      <c r="AB718" s="1212"/>
      <c r="AC718" s="385"/>
      <c r="AD718" s="385"/>
      <c r="AE718" s="456"/>
      <c r="AF718" s="385"/>
      <c r="AG718" s="385"/>
      <c r="AH718" s="385"/>
      <c r="AI718" s="385"/>
      <c r="AJ718" s="385"/>
      <c r="AK718" s="385"/>
      <c r="AL718" s="385"/>
      <c r="AM718" s="398"/>
      <c r="AN718" s="520"/>
      <c r="AP718" s="522" t="s">
        <v>2537</v>
      </c>
    </row>
    <row r="719" spans="1:43" s="416" customFormat="1" ht="14.15" customHeight="1">
      <c r="A719" s="398"/>
      <c r="B719" s="385"/>
      <c r="C719" s="735"/>
      <c r="D719" s="500" t="s">
        <v>27</v>
      </c>
      <c r="E719" s="2464" t="s">
        <v>2538</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385"/>
      <c r="AD719" s="385"/>
      <c r="AE719" s="385"/>
      <c r="AF719" s="2451" t="s">
        <v>2496</v>
      </c>
      <c r="AG719" s="2451"/>
      <c r="AH719" s="2451"/>
      <c r="AI719" s="2451"/>
      <c r="AJ719" s="2451"/>
      <c r="AK719" s="2451"/>
      <c r="AL719" s="2451"/>
      <c r="AM719" s="398"/>
      <c r="AN719" s="521"/>
    </row>
    <row r="720" spans="1:43" s="416" customFormat="1" ht="12.75" customHeight="1">
      <c r="A720" s="398"/>
      <c r="B720" s="385"/>
      <c r="C720" s="737"/>
      <c r="D720" s="385"/>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385"/>
      <c r="AD720" s="385"/>
      <c r="AE720" s="385"/>
      <c r="AF720" s="385"/>
      <c r="AG720" s="385"/>
      <c r="AH720" s="385"/>
      <c r="AI720" s="385"/>
      <c r="AJ720" s="385"/>
      <c r="AK720" s="385"/>
      <c r="AL720" s="385"/>
      <c r="AM720" s="398"/>
      <c r="AN720" s="520"/>
      <c r="AP720" s="398" t="s">
        <v>798</v>
      </c>
      <c r="AQ720" s="510">
        <v>0</v>
      </c>
    </row>
    <row r="721" spans="1:81" s="416" customFormat="1" ht="14.15" customHeight="1">
      <c r="A721" s="398"/>
      <c r="B721" s="385"/>
      <c r="C721" s="737"/>
      <c r="D721" s="385"/>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385"/>
      <c r="AD721" s="385"/>
      <c r="AE721" s="385"/>
      <c r="AF721" s="385"/>
      <c r="AG721" s="385"/>
      <c r="AH721" s="385"/>
      <c r="AI721" s="385"/>
      <c r="AJ721" s="385"/>
      <c r="AK721" s="385"/>
      <c r="AL721" s="385"/>
      <c r="AM721" s="398"/>
      <c r="AN721" s="520"/>
      <c r="AP721" s="452" t="s">
        <v>22</v>
      </c>
      <c r="AQ721" s="398">
        <v>3</v>
      </c>
    </row>
    <row r="722" spans="1:81" s="416" customFormat="1" ht="14.15" customHeight="1">
      <c r="A722" s="398"/>
      <c r="B722" s="385"/>
      <c r="C722" s="737"/>
      <c r="D722" s="385"/>
      <c r="E722" s="1213"/>
      <c r="F722" s="1213"/>
      <c r="G722" s="1213"/>
      <c r="H722" s="1213"/>
      <c r="I722" s="1213"/>
      <c r="J722" s="1213"/>
      <c r="K722" s="1213"/>
      <c r="L722" s="1213"/>
      <c r="M722" s="1213"/>
      <c r="N722" s="1213"/>
      <c r="O722" s="1213"/>
      <c r="P722" s="1213"/>
      <c r="Q722" s="1213"/>
      <c r="R722" s="1213"/>
      <c r="S722" s="1213"/>
      <c r="T722" s="1213"/>
      <c r="U722" s="1213"/>
      <c r="V722" s="1213"/>
      <c r="W722" s="1213"/>
      <c r="X722" s="1213"/>
      <c r="Y722" s="1213"/>
      <c r="Z722" s="1213"/>
      <c r="AA722" s="1213"/>
      <c r="AB722" s="1213"/>
      <c r="AC722" s="385"/>
      <c r="AD722" s="385"/>
      <c r="AE722" s="385"/>
      <c r="AF722" s="385"/>
      <c r="AG722" s="385"/>
      <c r="AH722" s="385"/>
      <c r="AI722" s="385"/>
      <c r="AJ722" s="385"/>
      <c r="AK722" s="385"/>
      <c r="AL722" s="385"/>
      <c r="AM722" s="398"/>
      <c r="AN722" s="520"/>
      <c r="AP722" s="452" t="s">
        <v>27</v>
      </c>
      <c r="AQ722" s="398">
        <v>2</v>
      </c>
    </row>
    <row r="723" spans="1:81" s="416" customFormat="1" ht="14.15" customHeight="1">
      <c r="A723" s="398"/>
      <c r="B723" s="385"/>
      <c r="C723" s="737"/>
      <c r="D723" s="385" t="s">
        <v>2482</v>
      </c>
      <c r="E723" s="1212"/>
      <c r="F723" s="1212"/>
      <c r="G723" s="1212"/>
      <c r="H723" s="2375" t="s">
        <v>798</v>
      </c>
      <c r="I723" s="2375"/>
      <c r="J723" s="1213"/>
      <c r="K723" s="1213"/>
      <c r="L723" s="1213"/>
      <c r="M723" s="1213"/>
      <c r="N723" s="1213"/>
      <c r="O723" s="1213"/>
      <c r="P723" s="1213"/>
      <c r="Q723" s="1213"/>
      <c r="R723" s="1213"/>
      <c r="S723" s="1213"/>
      <c r="T723" s="1213"/>
      <c r="U723" s="1213"/>
      <c r="V723" s="1213"/>
      <c r="W723" s="1213"/>
      <c r="X723" s="1213"/>
      <c r="Y723" s="1213"/>
      <c r="Z723" s="1213"/>
      <c r="AA723" s="1213"/>
      <c r="AB723" s="1213"/>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213"/>
      <c r="F724" s="1213"/>
      <c r="G724" s="1213"/>
      <c r="H724" s="1213"/>
      <c r="I724" s="1213"/>
      <c r="J724" s="1213"/>
      <c r="K724" s="1213"/>
      <c r="L724" s="1213"/>
      <c r="M724" s="1213"/>
      <c r="N724" s="1213"/>
      <c r="O724" s="1213"/>
      <c r="P724" s="1213"/>
      <c r="Q724" s="1213"/>
      <c r="R724" s="1213"/>
      <c r="S724" s="1213"/>
      <c r="T724" s="1213"/>
      <c r="U724" s="1213"/>
      <c r="V724" s="1213"/>
      <c r="W724" s="1213"/>
      <c r="X724" s="1213"/>
      <c r="Y724" s="1213"/>
      <c r="Z724" s="1213"/>
      <c r="AA724" s="1213"/>
      <c r="AB724" s="1213"/>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2539</v>
      </c>
      <c r="AJ725" s="2358">
        <f>VLOOKUP($H$723,$AP$720:$AQ$722,2,FALSE)</f>
        <v>0</v>
      </c>
      <c r="AK725" s="2360"/>
      <c r="AL725" s="437"/>
      <c r="AM725" s="398"/>
      <c r="AN725" s="520"/>
      <c r="AP725" s="2358"/>
      <c r="AQ725" s="2360"/>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ht="13">
      <c r="A727" s="398"/>
      <c r="B727" s="385"/>
      <c r="C727" s="388" t="s">
        <v>2540</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ht="13">
      <c r="A729" s="398"/>
      <c r="B729" s="385"/>
      <c r="C729" s="735"/>
      <c r="D729" s="500" t="s">
        <v>22</v>
      </c>
      <c r="E729" s="2351" t="s">
        <v>2541</v>
      </c>
      <c r="F729" s="2351"/>
      <c r="G729" s="2351"/>
      <c r="H729" s="2351"/>
      <c r="I729" s="2351"/>
      <c r="J729" s="2351"/>
      <c r="K729" s="2351"/>
      <c r="L729" s="2351"/>
      <c r="M729" s="2351"/>
      <c r="N729" s="2351"/>
      <c r="O729" s="2351"/>
      <c r="P729" s="2351"/>
      <c r="Q729" s="2351"/>
      <c r="R729" s="2351"/>
      <c r="S729" s="2351"/>
      <c r="T729" s="2351"/>
      <c r="U729" s="2351"/>
      <c r="V729" s="2351"/>
      <c r="W729" s="2351"/>
      <c r="X729" s="2351"/>
      <c r="Y729" s="2351"/>
      <c r="Z729" s="2351"/>
      <c r="AA729" s="2351"/>
      <c r="AB729" s="2351"/>
      <c r="AC729" s="385"/>
      <c r="AD729" s="385"/>
      <c r="AE729" s="385"/>
      <c r="AF729" s="2451" t="s">
        <v>2206</v>
      </c>
      <c r="AG729" s="2451"/>
      <c r="AH729" s="2451"/>
      <c r="AI729" s="2451"/>
      <c r="AJ729" s="2451"/>
      <c r="AK729" s="2451"/>
      <c r="AL729" s="2451"/>
      <c r="AM729" s="398"/>
      <c r="AN729" s="520"/>
      <c r="AT729" s="11"/>
      <c r="AU729" s="11"/>
      <c r="AV729" s="11"/>
      <c r="AW729" s="11"/>
      <c r="AX729" s="11"/>
      <c r="AY729" s="11"/>
      <c r="AZ729" s="11"/>
    </row>
    <row r="730" spans="1:81" s="416" customFormat="1" ht="13">
      <c r="A730" s="398"/>
      <c r="B730" s="385"/>
      <c r="C730" s="737"/>
      <c r="D730" s="500"/>
      <c r="E730" s="2351"/>
      <c r="F730" s="2351"/>
      <c r="G730" s="2351"/>
      <c r="H730" s="2351"/>
      <c r="I730" s="2351"/>
      <c r="J730" s="2351"/>
      <c r="K730" s="2351"/>
      <c r="L730" s="2351"/>
      <c r="M730" s="2351"/>
      <c r="N730" s="2351"/>
      <c r="O730" s="2351"/>
      <c r="P730" s="2351"/>
      <c r="Q730" s="2351"/>
      <c r="R730" s="2351"/>
      <c r="S730" s="2351"/>
      <c r="T730" s="2351"/>
      <c r="U730" s="2351"/>
      <c r="V730" s="2351"/>
      <c r="W730" s="2351"/>
      <c r="X730" s="2351"/>
      <c r="Y730" s="2351"/>
      <c r="Z730" s="2351"/>
      <c r="AA730" s="2351"/>
      <c r="AB730" s="2351"/>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2351" t="s">
        <v>2542</v>
      </c>
      <c r="F732" s="2351"/>
      <c r="G732" s="2351"/>
      <c r="H732" s="2351"/>
      <c r="I732" s="2351"/>
      <c r="J732" s="2351"/>
      <c r="K732" s="2351"/>
      <c r="L732" s="2351"/>
      <c r="M732" s="2351"/>
      <c r="N732" s="2351"/>
      <c r="O732" s="2351"/>
      <c r="P732" s="2351"/>
      <c r="Q732" s="2351"/>
      <c r="R732" s="2351"/>
      <c r="S732" s="2351"/>
      <c r="T732" s="2351"/>
      <c r="U732" s="2351"/>
      <c r="V732" s="2351"/>
      <c r="W732" s="2351"/>
      <c r="X732" s="2351"/>
      <c r="Y732" s="2351"/>
      <c r="Z732" s="2351"/>
      <c r="AA732" s="2351"/>
      <c r="AB732" s="2351"/>
      <c r="AC732" s="385"/>
      <c r="AD732" s="385"/>
      <c r="AE732" s="385"/>
      <c r="AF732" s="2451" t="s">
        <v>2496</v>
      </c>
      <c r="AG732" s="2451"/>
      <c r="AH732" s="2451"/>
      <c r="AI732" s="2451"/>
      <c r="AJ732" s="2451"/>
      <c r="AK732" s="2451"/>
      <c r="AL732" s="2451"/>
      <c r="AM732" s="398"/>
      <c r="AN732" s="520"/>
      <c r="AT732" s="11"/>
      <c r="AU732" s="11"/>
      <c r="AV732" s="11"/>
      <c r="AW732" s="11"/>
      <c r="AX732" s="11"/>
      <c r="AY732" s="11"/>
      <c r="AZ732" s="11"/>
    </row>
    <row r="733" spans="1:81" s="416" customFormat="1" ht="13">
      <c r="A733" s="398"/>
      <c r="B733" s="385"/>
      <c r="C733" s="737"/>
      <c r="D733" s="385"/>
      <c r="E733" s="2351"/>
      <c r="F733" s="2351"/>
      <c r="G733" s="2351"/>
      <c r="H733" s="2351"/>
      <c r="I733" s="2351"/>
      <c r="J733" s="2351"/>
      <c r="K733" s="2351"/>
      <c r="L733" s="2351"/>
      <c r="M733" s="2351"/>
      <c r="N733" s="2351"/>
      <c r="O733" s="2351"/>
      <c r="P733" s="2351"/>
      <c r="Q733" s="2351"/>
      <c r="R733" s="2351"/>
      <c r="S733" s="2351"/>
      <c r="T733" s="2351"/>
      <c r="U733" s="2351"/>
      <c r="V733" s="2351"/>
      <c r="W733" s="2351"/>
      <c r="X733" s="2351"/>
      <c r="Y733" s="2351"/>
      <c r="Z733" s="2351"/>
      <c r="AA733" s="2351"/>
      <c r="AB733" s="2351"/>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ht="13">
      <c r="A734" s="398"/>
      <c r="B734" s="385"/>
      <c r="C734" s="737"/>
      <c r="D734" s="385"/>
      <c r="E734" s="1200"/>
      <c r="F734" s="1200"/>
      <c r="G734" s="1200"/>
      <c r="H734" s="1200"/>
      <c r="I734" s="1200"/>
      <c r="J734" s="1200"/>
      <c r="K734" s="1200"/>
      <c r="L734" s="1200"/>
      <c r="M734" s="1200"/>
      <c r="N734" s="1200"/>
      <c r="O734" s="1200"/>
      <c r="P734" s="1200"/>
      <c r="Q734" s="1200"/>
      <c r="R734" s="1200"/>
      <c r="S734" s="1200"/>
      <c r="T734" s="1200"/>
      <c r="U734" s="1200"/>
      <c r="V734" s="1200"/>
      <c r="W734" s="1200"/>
      <c r="X734" s="1200"/>
      <c r="Y734" s="1200"/>
      <c r="Z734" s="1200"/>
      <c r="AA734" s="1200"/>
      <c r="AB734" s="1200"/>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2482</v>
      </c>
      <c r="E735" s="1212"/>
      <c r="F735" s="1212"/>
      <c r="G735" s="1212"/>
      <c r="H735" s="2375" t="s">
        <v>798</v>
      </c>
      <c r="I735" s="2375"/>
      <c r="J735" s="1200"/>
      <c r="K735" s="1200"/>
      <c r="L735" s="1200"/>
      <c r="M735" s="1200"/>
      <c r="N735" s="1200"/>
      <c r="O735" s="1200"/>
      <c r="P735" s="1200"/>
      <c r="Q735" s="1200"/>
      <c r="R735" s="1200"/>
      <c r="S735" s="1200"/>
      <c r="T735" s="1200"/>
      <c r="U735" s="1200"/>
      <c r="V735" s="1200"/>
      <c r="W735" s="1200"/>
      <c r="X735" s="1200"/>
      <c r="Y735" s="1200"/>
      <c r="Z735" s="1200"/>
      <c r="AA735" s="1200"/>
      <c r="AB735" s="1200"/>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ht="13">
      <c r="A736" s="398"/>
      <c r="B736" s="385"/>
      <c r="C736" s="737"/>
      <c r="D736" s="385"/>
      <c r="E736" s="1200"/>
      <c r="F736" s="1200"/>
      <c r="G736" s="1200"/>
      <c r="H736" s="1200"/>
      <c r="I736" s="1200"/>
      <c r="J736" s="1200"/>
      <c r="K736" s="1200"/>
      <c r="L736" s="1200"/>
      <c r="M736" s="1200"/>
      <c r="N736" s="1200"/>
      <c r="O736" s="1200"/>
      <c r="P736" s="1200"/>
      <c r="Q736" s="1200"/>
      <c r="R736" s="1200"/>
      <c r="S736" s="1200"/>
      <c r="T736" s="1200"/>
      <c r="U736" s="1200"/>
      <c r="V736" s="1200"/>
      <c r="W736" s="1200"/>
      <c r="X736" s="1200"/>
      <c r="Y736" s="1200"/>
      <c r="Z736" s="1200"/>
      <c r="AA736" s="1200"/>
      <c r="AB736" s="1200"/>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ht="13">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2543</v>
      </c>
      <c r="AJ737" s="2358">
        <f>VLOOKUP($H$735,$AO$666:$AP$668,2,FALSE)</f>
        <v>0</v>
      </c>
      <c r="AK737" s="2360"/>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200"/>
      <c r="K738" s="1200"/>
      <c r="L738" s="1200"/>
      <c r="M738" s="1200"/>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388" t="s">
        <v>2544</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ht="13">
      <c r="A741" s="398"/>
      <c r="B741" s="385"/>
      <c r="C741" s="735"/>
      <c r="D741" s="500" t="s">
        <v>22</v>
      </c>
      <c r="E741" s="2351" t="s">
        <v>2545</v>
      </c>
      <c r="F741" s="2351"/>
      <c r="G741" s="2351"/>
      <c r="H741" s="2351"/>
      <c r="I741" s="2351"/>
      <c r="J741" s="2351"/>
      <c r="K741" s="2351"/>
      <c r="L741" s="2351"/>
      <c r="M741" s="2351"/>
      <c r="N741" s="2351"/>
      <c r="O741" s="2351"/>
      <c r="P741" s="2351"/>
      <c r="Q741" s="2351"/>
      <c r="R741" s="2351"/>
      <c r="S741" s="2351"/>
      <c r="T741" s="2351"/>
      <c r="U741" s="2351"/>
      <c r="V741" s="2351"/>
      <c r="W741" s="2351"/>
      <c r="X741" s="2351"/>
      <c r="Y741" s="2351"/>
      <c r="Z741" s="2351"/>
      <c r="AA741" s="2351"/>
      <c r="AB741" s="2351"/>
      <c r="AC741" s="385"/>
      <c r="AD741" s="385"/>
      <c r="AE741" s="385"/>
      <c r="AF741" s="2451" t="s">
        <v>2206</v>
      </c>
      <c r="AG741" s="2451"/>
      <c r="AH741" s="2451"/>
      <c r="AI741" s="2451"/>
      <c r="AJ741" s="2451"/>
      <c r="AK741" s="2451"/>
      <c r="AL741" s="2451"/>
      <c r="AM741" s="398"/>
      <c r="AN741" s="520"/>
      <c r="AT741" s="11"/>
      <c r="AU741" s="11"/>
      <c r="AV741" s="11"/>
      <c r="AW741" s="11"/>
      <c r="AX741" s="11"/>
      <c r="AY741" s="11"/>
      <c r="AZ741" s="11"/>
    </row>
    <row r="742" spans="1:81" s="416" customFormat="1" ht="13">
      <c r="A742" s="398"/>
      <c r="B742" s="385"/>
      <c r="C742" s="735"/>
      <c r="D742" s="500"/>
      <c r="E742" s="2351"/>
      <c r="F742" s="2351"/>
      <c r="G742" s="2351"/>
      <c r="H742" s="2351"/>
      <c r="I742" s="2351"/>
      <c r="J742" s="2351"/>
      <c r="K742" s="2351"/>
      <c r="L742" s="2351"/>
      <c r="M742" s="2351"/>
      <c r="N742" s="2351"/>
      <c r="O742" s="2351"/>
      <c r="P742" s="2351"/>
      <c r="Q742" s="2351"/>
      <c r="R742" s="2351"/>
      <c r="S742" s="2351"/>
      <c r="T742" s="2351"/>
      <c r="U742" s="2351"/>
      <c r="V742" s="2351"/>
      <c r="W742" s="2351"/>
      <c r="X742" s="2351"/>
      <c r="Y742" s="2351"/>
      <c r="Z742" s="2351"/>
      <c r="AA742" s="2351"/>
      <c r="AB742" s="2351"/>
      <c r="AC742" s="385"/>
      <c r="AD742" s="385"/>
      <c r="AE742" s="385"/>
      <c r="AF742" s="1193"/>
      <c r="AG742" s="1193"/>
      <c r="AH742" s="1193"/>
      <c r="AI742" s="1193"/>
      <c r="AJ742" s="1193"/>
      <c r="AK742" s="1193"/>
      <c r="AL742" s="1193"/>
      <c r="AM742" s="398"/>
      <c r="AN742" s="520"/>
      <c r="AT742" s="11"/>
      <c r="AU742" s="11"/>
      <c r="AV742" s="11"/>
      <c r="AW742" s="11"/>
      <c r="AX742" s="11"/>
      <c r="AY742" s="11"/>
      <c r="AZ742" s="11"/>
    </row>
    <row r="743" spans="1:81" s="416" customFormat="1" ht="13">
      <c r="A743" s="398"/>
      <c r="B743" s="385"/>
      <c r="C743" s="737"/>
      <c r="D743" s="500"/>
      <c r="E743" s="2351"/>
      <c r="F743" s="2351"/>
      <c r="G743" s="2351"/>
      <c r="H743" s="2351"/>
      <c r="I743" s="2351"/>
      <c r="J743" s="2351"/>
      <c r="K743" s="2351"/>
      <c r="L743" s="2351"/>
      <c r="M743" s="2351"/>
      <c r="N743" s="2351"/>
      <c r="O743" s="2351"/>
      <c r="P743" s="2351"/>
      <c r="Q743" s="2351"/>
      <c r="R743" s="2351"/>
      <c r="S743" s="2351"/>
      <c r="T743" s="2351"/>
      <c r="U743" s="2351"/>
      <c r="V743" s="2351"/>
      <c r="W743" s="2351"/>
      <c r="X743" s="2351"/>
      <c r="Y743" s="2351"/>
      <c r="Z743" s="2351"/>
      <c r="AA743" s="2351"/>
      <c r="AB743" s="2351"/>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2351"/>
      <c r="F744" s="2351"/>
      <c r="G744" s="2351"/>
      <c r="H744" s="2351"/>
      <c r="I744" s="2351"/>
      <c r="J744" s="2351"/>
      <c r="K744" s="2351"/>
      <c r="L744" s="2351"/>
      <c r="M744" s="2351"/>
      <c r="N744" s="2351"/>
      <c r="O744" s="2351"/>
      <c r="P744" s="2351"/>
      <c r="Q744" s="2351"/>
      <c r="R744" s="2351"/>
      <c r="S744" s="2351"/>
      <c r="T744" s="2351"/>
      <c r="U744" s="2351"/>
      <c r="V744" s="2351"/>
      <c r="W744" s="2351"/>
      <c r="X744" s="2351"/>
      <c r="Y744" s="2351"/>
      <c r="Z744" s="2351"/>
      <c r="AA744" s="2351"/>
      <c r="AB744" s="2351"/>
      <c r="AC744" s="385"/>
      <c r="AD744" s="385"/>
      <c r="AE744" s="385"/>
      <c r="AF744" s="385"/>
      <c r="AG744" s="385"/>
      <c r="AH744" s="385"/>
      <c r="AI744" s="385"/>
      <c r="AJ744" s="385"/>
      <c r="AK744" s="385"/>
      <c r="AL744" s="385"/>
      <c r="AM744" s="398"/>
      <c r="AN744" s="383"/>
      <c r="AO744" s="11"/>
    </row>
    <row r="745" spans="1:81" s="416" customFormat="1">
      <c r="A745" s="1210"/>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ht="13">
      <c r="A746" s="398"/>
      <c r="B746" s="385"/>
      <c r="C746" s="735"/>
      <c r="D746" s="500" t="s">
        <v>27</v>
      </c>
      <c r="E746" s="2351" t="s">
        <v>2546</v>
      </c>
      <c r="F746" s="2351"/>
      <c r="G746" s="2351"/>
      <c r="H746" s="2351"/>
      <c r="I746" s="2351"/>
      <c r="J746" s="2351"/>
      <c r="K746" s="2351"/>
      <c r="L746" s="2351"/>
      <c r="M746" s="2351"/>
      <c r="N746" s="2351"/>
      <c r="O746" s="2351"/>
      <c r="P746" s="2351"/>
      <c r="Q746" s="2351"/>
      <c r="R746" s="2351"/>
      <c r="S746" s="2351"/>
      <c r="T746" s="2351"/>
      <c r="U746" s="2351"/>
      <c r="V746" s="2351"/>
      <c r="W746" s="2351"/>
      <c r="X746" s="2351"/>
      <c r="Y746" s="2351"/>
      <c r="Z746" s="2351"/>
      <c r="AA746" s="2351"/>
      <c r="AB746" s="420"/>
      <c r="AC746" s="385"/>
      <c r="AD746" s="385"/>
      <c r="AE746" s="385"/>
      <c r="AF746" s="2451" t="s">
        <v>2496</v>
      </c>
      <c r="AG746" s="2451"/>
      <c r="AH746" s="2451"/>
      <c r="AI746" s="2451"/>
      <c r="AJ746" s="2451"/>
      <c r="AK746" s="2451"/>
      <c r="AL746" s="2451"/>
      <c r="AM746" s="398"/>
      <c r="AN746" s="520"/>
      <c r="AO746" s="23"/>
      <c r="AP746" s="11"/>
    </row>
    <row r="747" spans="1:81" s="416" customFormat="1" ht="13">
      <c r="A747" s="398"/>
      <c r="B747" s="385"/>
      <c r="C747" s="735"/>
      <c r="D747" s="500"/>
      <c r="E747" s="2351"/>
      <c r="F747" s="2351"/>
      <c r="G747" s="2351"/>
      <c r="H747" s="2351"/>
      <c r="I747" s="2351"/>
      <c r="J747" s="2351"/>
      <c r="K747" s="2351"/>
      <c r="L747" s="2351"/>
      <c r="M747" s="2351"/>
      <c r="N747" s="2351"/>
      <c r="O747" s="2351"/>
      <c r="P747" s="2351"/>
      <c r="Q747" s="2351"/>
      <c r="R747" s="2351"/>
      <c r="S747" s="2351"/>
      <c r="T747" s="2351"/>
      <c r="U747" s="2351"/>
      <c r="V747" s="2351"/>
      <c r="W747" s="2351"/>
      <c r="X747" s="2351"/>
      <c r="Y747" s="2351"/>
      <c r="Z747" s="2351"/>
      <c r="AA747" s="2351"/>
      <c r="AB747" s="420"/>
      <c r="AC747" s="385"/>
      <c r="AD747" s="385"/>
      <c r="AE747" s="385"/>
      <c r="AF747" s="1193"/>
      <c r="AG747" s="1193"/>
      <c r="AH747" s="1193"/>
      <c r="AI747" s="1193"/>
      <c r="AJ747" s="1193"/>
      <c r="AK747" s="1193"/>
      <c r="AL747" s="1193"/>
      <c r="AM747" s="398"/>
      <c r="AN747" s="520"/>
      <c r="AO747" s="23"/>
      <c r="AP747" s="11"/>
    </row>
    <row r="748" spans="1:81" s="416" customFormat="1" ht="13">
      <c r="A748" s="398"/>
      <c r="B748" s="385"/>
      <c r="C748" s="735"/>
      <c r="D748" s="385"/>
      <c r="E748" s="2351"/>
      <c r="F748" s="2351"/>
      <c r="G748" s="2351"/>
      <c r="H748" s="2351"/>
      <c r="I748" s="2351"/>
      <c r="J748" s="2351"/>
      <c r="K748" s="2351"/>
      <c r="L748" s="2351"/>
      <c r="M748" s="2351"/>
      <c r="N748" s="2351"/>
      <c r="O748" s="2351"/>
      <c r="P748" s="2351"/>
      <c r="Q748" s="2351"/>
      <c r="R748" s="2351"/>
      <c r="S748" s="2351"/>
      <c r="T748" s="2351"/>
      <c r="U748" s="2351"/>
      <c r="V748" s="2351"/>
      <c r="W748" s="2351"/>
      <c r="X748" s="2351"/>
      <c r="Y748" s="2351"/>
      <c r="Z748" s="2351"/>
      <c r="AA748" s="2351"/>
      <c r="AB748" s="420"/>
      <c r="AC748" s="1193"/>
      <c r="AD748" s="1193"/>
      <c r="AE748" s="1193"/>
      <c r="AF748" s="1193"/>
      <c r="AG748" s="1193"/>
      <c r="AH748" s="1193"/>
      <c r="AI748" s="1193"/>
      <c r="AJ748" s="385"/>
      <c r="AK748" s="385"/>
      <c r="AL748" s="385"/>
      <c r="AM748" s="398"/>
      <c r="AN748" s="520"/>
      <c r="AO748" s="23"/>
      <c r="AP748" s="11"/>
    </row>
    <row r="749" spans="1:81" s="416" customFormat="1" ht="13">
      <c r="A749" s="398"/>
      <c r="B749" s="385"/>
      <c r="C749" s="735"/>
      <c r="D749" s="385"/>
      <c r="E749" s="2351"/>
      <c r="F749" s="2351"/>
      <c r="G749" s="2351"/>
      <c r="H749" s="2351"/>
      <c r="I749" s="2351"/>
      <c r="J749" s="2351"/>
      <c r="K749" s="2351"/>
      <c r="L749" s="2351"/>
      <c r="M749" s="2351"/>
      <c r="N749" s="2351"/>
      <c r="O749" s="2351"/>
      <c r="P749" s="2351"/>
      <c r="Q749" s="2351"/>
      <c r="R749" s="2351"/>
      <c r="S749" s="2351"/>
      <c r="T749" s="2351"/>
      <c r="U749" s="2351"/>
      <c r="V749" s="2351"/>
      <c r="W749" s="2351"/>
      <c r="X749" s="2351"/>
      <c r="Y749" s="2351"/>
      <c r="Z749" s="2351"/>
      <c r="AA749" s="2351"/>
      <c r="AB749" s="420"/>
      <c r="AC749" s="1193"/>
      <c r="AD749" s="1193"/>
      <c r="AE749" s="1193"/>
      <c r="AF749" s="1193"/>
      <c r="AG749" s="1193"/>
      <c r="AH749" s="1193"/>
      <c r="AI749" s="1193"/>
      <c r="AJ749" s="385"/>
      <c r="AK749" s="385"/>
      <c r="AL749" s="385"/>
      <c r="AM749" s="398"/>
      <c r="AN749" s="520"/>
      <c r="AO749" s="23"/>
      <c r="AP749" s="11"/>
    </row>
    <row r="750" spans="1:81" s="416" customFormat="1" ht="13">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193"/>
      <c r="AD750" s="1193"/>
      <c r="AE750" s="1193"/>
      <c r="AF750" s="1193"/>
      <c r="AG750" s="1193"/>
      <c r="AH750" s="1193"/>
      <c r="AI750" s="1193"/>
      <c r="AJ750" s="385"/>
      <c r="AK750" s="385"/>
      <c r="AL750" s="385"/>
      <c r="AM750" s="398"/>
      <c r="AN750" s="520"/>
    </row>
    <row r="751" spans="1:81" s="416" customFormat="1" ht="12.75" customHeight="1">
      <c r="A751" s="398"/>
      <c r="B751" s="385"/>
      <c r="C751" s="735"/>
      <c r="D751" s="385" t="s">
        <v>2482</v>
      </c>
      <c r="E751" s="1212"/>
      <c r="F751" s="1212"/>
      <c r="G751" s="1212"/>
      <c r="H751" s="2375" t="s">
        <v>22</v>
      </c>
      <c r="I751" s="2375"/>
      <c r="J751" s="481"/>
      <c r="K751" s="481"/>
      <c r="L751" s="481"/>
      <c r="M751" s="481"/>
      <c r="N751" s="481"/>
      <c r="O751" s="481"/>
      <c r="P751" s="481"/>
      <c r="Q751" s="481"/>
      <c r="R751" s="481"/>
      <c r="S751" s="481"/>
      <c r="T751" s="481"/>
      <c r="U751" s="481"/>
      <c r="V751" s="481"/>
      <c r="W751" s="481"/>
      <c r="X751" s="481"/>
      <c r="Y751" s="481"/>
      <c r="Z751" s="481"/>
      <c r="AA751" s="481"/>
      <c r="AB751" s="481"/>
      <c r="AC751" s="1193"/>
      <c r="AD751" s="1193"/>
      <c r="AE751" s="1193"/>
      <c r="AF751" s="1193"/>
      <c r="AG751" s="1193"/>
      <c r="AH751" s="1193"/>
      <c r="AI751" s="1193"/>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193"/>
      <c r="AD752" s="1193"/>
      <c r="AE752" s="1193"/>
      <c r="AF752" s="1193"/>
      <c r="AG752" s="1193"/>
      <c r="AH752" s="1193"/>
      <c r="AI752" s="1193"/>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ht="13">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2547</v>
      </c>
      <c r="AJ753" s="2358">
        <f>VLOOKUP($H$751,$AO$680:$AP$682,2,FALSE)</f>
        <v>3</v>
      </c>
      <c r="AK753" s="2360"/>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200"/>
      <c r="M754" s="1200"/>
      <c r="N754" s="1200"/>
      <c r="O754" s="1200"/>
      <c r="P754" s="1200"/>
      <c r="Q754" s="1200"/>
      <c r="R754" s="1200"/>
      <c r="S754" s="1200"/>
      <c r="T754" s="1200"/>
      <c r="U754" s="1200"/>
      <c r="V754" s="456"/>
      <c r="W754" s="456"/>
      <c r="X754" s="456"/>
      <c r="Y754" s="456"/>
      <c r="Z754" s="1212"/>
      <c r="AA754" s="1212"/>
      <c r="AB754" s="1212"/>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ht="13">
      <c r="A755" s="398"/>
      <c r="B755" s="385"/>
      <c r="C755" s="388" t="s">
        <v>2536</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ht="13">
      <c r="A757" s="398"/>
      <c r="B757" s="385"/>
      <c r="C757" s="735"/>
      <c r="D757" s="500" t="s">
        <v>22</v>
      </c>
      <c r="E757" s="2351" t="s">
        <v>2548</v>
      </c>
      <c r="F757" s="2351"/>
      <c r="G757" s="2351"/>
      <c r="H757" s="2351"/>
      <c r="I757" s="2351"/>
      <c r="J757" s="2351"/>
      <c r="K757" s="2351"/>
      <c r="L757" s="2351"/>
      <c r="M757" s="2351"/>
      <c r="N757" s="2351"/>
      <c r="O757" s="2351"/>
      <c r="P757" s="2351"/>
      <c r="Q757" s="2351"/>
      <c r="R757" s="2351"/>
      <c r="S757" s="2351"/>
      <c r="T757" s="2351"/>
      <c r="U757" s="2351"/>
      <c r="V757" s="2351"/>
      <c r="W757" s="2351"/>
      <c r="X757" s="2351"/>
      <c r="Y757" s="2351"/>
      <c r="Z757" s="2351"/>
      <c r="AA757" s="2351"/>
      <c r="AB757" s="2351"/>
      <c r="AC757" s="385"/>
      <c r="AD757" s="385"/>
      <c r="AE757" s="385"/>
      <c r="AF757" s="2451" t="s">
        <v>2496</v>
      </c>
      <c r="AG757" s="2451"/>
      <c r="AH757" s="2451"/>
      <c r="AI757" s="2451"/>
      <c r="AJ757" s="2451"/>
      <c r="AK757" s="2451"/>
      <c r="AL757" s="2451"/>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ht="13">
      <c r="A758" s="398"/>
      <c r="B758" s="385"/>
      <c r="C758" s="737"/>
      <c r="D758" s="500"/>
      <c r="E758" s="2351"/>
      <c r="F758" s="2351"/>
      <c r="G758" s="2351"/>
      <c r="H758" s="2351"/>
      <c r="I758" s="2351"/>
      <c r="J758" s="2351"/>
      <c r="K758" s="2351"/>
      <c r="L758" s="2351"/>
      <c r="M758" s="2351"/>
      <c r="N758" s="2351"/>
      <c r="O758" s="2351"/>
      <c r="P758" s="2351"/>
      <c r="Q758" s="2351"/>
      <c r="R758" s="2351"/>
      <c r="S758" s="2351"/>
      <c r="T758" s="2351"/>
      <c r="U758" s="2351"/>
      <c r="V758" s="2351"/>
      <c r="W758" s="2351"/>
      <c r="X758" s="2351"/>
      <c r="Y758" s="2351"/>
      <c r="Z758" s="2351"/>
      <c r="AA758" s="2351"/>
      <c r="AB758" s="2351"/>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ht="13">
      <c r="A760" s="477"/>
      <c r="B760" s="385"/>
      <c r="C760" s="735"/>
      <c r="D760" s="500" t="s">
        <v>27</v>
      </c>
      <c r="E760" s="2351" t="s">
        <v>2549</v>
      </c>
      <c r="F760" s="2351"/>
      <c r="G760" s="2351"/>
      <c r="H760" s="2351"/>
      <c r="I760" s="2351"/>
      <c r="J760" s="2351"/>
      <c r="K760" s="2351"/>
      <c r="L760" s="2351"/>
      <c r="M760" s="2351"/>
      <c r="N760" s="2351"/>
      <c r="O760" s="2351"/>
      <c r="P760" s="2351"/>
      <c r="Q760" s="2351"/>
      <c r="R760" s="2351"/>
      <c r="S760" s="2351"/>
      <c r="T760" s="2351"/>
      <c r="U760" s="2351"/>
      <c r="V760" s="2351"/>
      <c r="W760" s="2351"/>
      <c r="X760" s="2351"/>
      <c r="Y760" s="2351"/>
      <c r="Z760" s="2351"/>
      <c r="AA760" s="2351"/>
      <c r="AB760" s="2351"/>
      <c r="AC760" s="385"/>
      <c r="AD760" s="385"/>
      <c r="AE760" s="385"/>
      <c r="AF760" s="2451" t="s">
        <v>2514</v>
      </c>
      <c r="AG760" s="2451"/>
      <c r="AH760" s="2451"/>
      <c r="AI760" s="2451"/>
      <c r="AJ760" s="2451"/>
      <c r="AK760" s="2451"/>
      <c r="AL760" s="2451"/>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2351"/>
      <c r="F761" s="2351"/>
      <c r="G761" s="2351"/>
      <c r="H761" s="2351"/>
      <c r="I761" s="2351"/>
      <c r="J761" s="2351"/>
      <c r="K761" s="2351"/>
      <c r="L761" s="2351"/>
      <c r="M761" s="2351"/>
      <c r="N761" s="2351"/>
      <c r="O761" s="2351"/>
      <c r="P761" s="2351"/>
      <c r="Q761" s="2351"/>
      <c r="R761" s="2351"/>
      <c r="S761" s="2351"/>
      <c r="T761" s="2351"/>
      <c r="U761" s="2351"/>
      <c r="V761" s="2351"/>
      <c r="W761" s="2351"/>
      <c r="X761" s="2351"/>
      <c r="Y761" s="2351"/>
      <c r="Z761" s="2351"/>
      <c r="AA761" s="2351"/>
      <c r="AB761" s="2351"/>
      <c r="AC761" s="385"/>
      <c r="AD761" s="385"/>
      <c r="AE761" s="1193"/>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ht="13">
      <c r="A762" s="398"/>
      <c r="B762" s="385"/>
      <c r="C762" s="737"/>
      <c r="D762" s="385"/>
      <c r="E762" s="1200"/>
      <c r="F762" s="1200"/>
      <c r="G762" s="1200"/>
      <c r="H762" s="1200"/>
      <c r="I762" s="1200"/>
      <c r="J762" s="1200"/>
      <c r="K762" s="1200"/>
      <c r="L762" s="1200"/>
      <c r="M762" s="1200"/>
      <c r="N762" s="1200"/>
      <c r="O762" s="1200"/>
      <c r="P762" s="1200"/>
      <c r="Q762" s="1200"/>
      <c r="R762" s="1200"/>
      <c r="S762" s="1200"/>
      <c r="T762" s="1200"/>
      <c r="U762" s="1200"/>
      <c r="V762" s="1200"/>
      <c r="W762" s="1200"/>
      <c r="X762" s="1200"/>
      <c r="Y762" s="1200"/>
      <c r="Z762" s="1200"/>
      <c r="AA762" s="1200"/>
      <c r="AB762" s="1200"/>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2482</v>
      </c>
      <c r="E763" s="1212"/>
      <c r="F763" s="1212"/>
      <c r="G763" s="1212"/>
      <c r="H763" s="2375" t="s">
        <v>27</v>
      </c>
      <c r="I763" s="2375"/>
      <c r="J763" s="1200"/>
      <c r="K763" s="1200"/>
      <c r="L763" s="1200"/>
      <c r="M763" s="1200"/>
      <c r="N763" s="1200"/>
      <c r="O763" s="1200"/>
      <c r="P763" s="1200"/>
      <c r="Q763" s="385"/>
      <c r="R763" s="385"/>
      <c r="S763" s="385"/>
      <c r="T763" s="385"/>
      <c r="U763" s="385"/>
      <c r="V763" s="385"/>
      <c r="W763" s="1200"/>
      <c r="X763" s="1200"/>
      <c r="Y763" s="1200"/>
      <c r="Z763" s="1200"/>
      <c r="AA763" s="1200"/>
      <c r="AB763" s="1200"/>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4.15"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2550</v>
      </c>
      <c r="AJ765" s="2358">
        <f>VLOOKUP($H$763,$AO$697:$AP$699,2,FALSE)</f>
        <v>1</v>
      </c>
      <c r="AK765" s="2360"/>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ht="13">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187"/>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ht="13">
      <c r="A767" s="398"/>
      <c r="B767" s="456"/>
      <c r="C767" s="388" t="s">
        <v>2537</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187"/>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ht="13">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187"/>
      <c r="AJ768" s="437"/>
      <c r="AK768" s="437"/>
      <c r="AL768" s="437"/>
      <c r="AM768" s="398"/>
      <c r="AN768" s="520"/>
    </row>
    <row r="769" spans="1:81" s="416" customFormat="1" ht="13.75" customHeight="1">
      <c r="A769" s="398"/>
      <c r="B769" s="456"/>
      <c r="C769" s="743"/>
      <c r="D769" s="500" t="s">
        <v>22</v>
      </c>
      <c r="E769" s="2351" t="s">
        <v>2551</v>
      </c>
      <c r="F769" s="2351"/>
      <c r="G769" s="2351"/>
      <c r="H769" s="2351"/>
      <c r="I769" s="2351"/>
      <c r="J769" s="2351"/>
      <c r="K769" s="2351"/>
      <c r="L769" s="2351"/>
      <c r="M769" s="2351"/>
      <c r="N769" s="2351"/>
      <c r="O769" s="2351"/>
      <c r="P769" s="2351"/>
      <c r="Q769" s="2351"/>
      <c r="R769" s="2351"/>
      <c r="S769" s="2351"/>
      <c r="T769" s="2351"/>
      <c r="U769" s="2351"/>
      <c r="V769" s="2351"/>
      <c r="W769" s="2351"/>
      <c r="X769" s="2351"/>
      <c r="Y769" s="2351"/>
      <c r="Z769" s="2351"/>
      <c r="AA769" s="2351"/>
      <c r="AB769" s="2351"/>
      <c r="AC769" s="2351"/>
      <c r="AD769" s="2351"/>
      <c r="AE769" s="385"/>
      <c r="AF769" s="2451" t="s">
        <v>2496</v>
      </c>
      <c r="AG769" s="2451"/>
      <c r="AH769" s="2451"/>
      <c r="AI769" s="2451"/>
      <c r="AJ769" s="2451"/>
      <c r="AK769" s="2451"/>
      <c r="AL769" s="2451"/>
      <c r="AM769" s="454"/>
      <c r="AN769" s="520"/>
      <c r="AO769" s="398" t="s">
        <v>798</v>
      </c>
      <c r="AP769" s="510">
        <v>0</v>
      </c>
    </row>
    <row r="770" spans="1:81" s="416" customFormat="1" ht="13.75" customHeight="1">
      <c r="A770" s="398"/>
      <c r="B770" s="456"/>
      <c r="C770" s="743"/>
      <c r="D770" s="500"/>
      <c r="E770" s="2351"/>
      <c r="F770" s="2351"/>
      <c r="G770" s="2351"/>
      <c r="H770" s="2351"/>
      <c r="I770" s="2351"/>
      <c r="J770" s="2351"/>
      <c r="K770" s="2351"/>
      <c r="L770" s="2351"/>
      <c r="M770" s="2351"/>
      <c r="N770" s="2351"/>
      <c r="O770" s="2351"/>
      <c r="P770" s="2351"/>
      <c r="Q770" s="2351"/>
      <c r="R770" s="2351"/>
      <c r="S770" s="2351"/>
      <c r="T770" s="2351"/>
      <c r="U770" s="2351"/>
      <c r="V770" s="2351"/>
      <c r="W770" s="2351"/>
      <c r="X770" s="2351"/>
      <c r="Y770" s="2351"/>
      <c r="Z770" s="2351"/>
      <c r="AA770" s="2351"/>
      <c r="AB770" s="2351"/>
      <c r="AC770" s="2351"/>
      <c r="AD770" s="2351"/>
      <c r="AE770" s="385"/>
      <c r="AF770" s="1193"/>
      <c r="AG770" s="1193"/>
      <c r="AH770" s="1193"/>
      <c r="AI770" s="1193"/>
      <c r="AJ770" s="1193"/>
      <c r="AK770" s="1193"/>
      <c r="AL770" s="1193"/>
      <c r="AM770" s="454"/>
      <c r="AN770" s="520"/>
      <c r="AO770" s="452" t="s">
        <v>22</v>
      </c>
      <c r="AP770" s="398">
        <v>2</v>
      </c>
    </row>
    <row r="771" spans="1:81" s="416" customFormat="1" ht="13">
      <c r="A771" s="398"/>
      <c r="B771" s="456"/>
      <c r="C771" s="743"/>
      <c r="D771" s="500"/>
      <c r="E771" s="2351"/>
      <c r="F771" s="2351"/>
      <c r="G771" s="2351"/>
      <c r="H771" s="2351"/>
      <c r="I771" s="2351"/>
      <c r="J771" s="2351"/>
      <c r="K771" s="2351"/>
      <c r="L771" s="2351"/>
      <c r="M771" s="2351"/>
      <c r="N771" s="2351"/>
      <c r="O771" s="2351"/>
      <c r="P771" s="2351"/>
      <c r="Q771" s="2351"/>
      <c r="R771" s="2351"/>
      <c r="S771" s="2351"/>
      <c r="T771" s="2351"/>
      <c r="U771" s="2351"/>
      <c r="V771" s="2351"/>
      <c r="W771" s="2351"/>
      <c r="X771" s="2351"/>
      <c r="Y771" s="2351"/>
      <c r="Z771" s="2351"/>
      <c r="AA771" s="2351"/>
      <c r="AB771" s="2351"/>
      <c r="AC771" s="2351"/>
      <c r="AD771" s="2351"/>
      <c r="AE771" s="385"/>
      <c r="AF771" s="385"/>
      <c r="AG771" s="385"/>
      <c r="AH771" s="385"/>
      <c r="AI771" s="385"/>
      <c r="AJ771" s="385"/>
      <c r="AK771" s="385"/>
      <c r="AL771" s="1193"/>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649999999999999" customHeight="1">
      <c r="A772" s="398"/>
      <c r="B772" s="456"/>
      <c r="C772" s="743"/>
      <c r="D772" s="500"/>
      <c r="E772" s="2351"/>
      <c r="F772" s="2351"/>
      <c r="G772" s="2351"/>
      <c r="H772" s="2351"/>
      <c r="I772" s="2351"/>
      <c r="J772" s="2351"/>
      <c r="K772" s="2351"/>
      <c r="L772" s="2351"/>
      <c r="M772" s="2351"/>
      <c r="N772" s="2351"/>
      <c r="O772" s="2351"/>
      <c r="P772" s="2351"/>
      <c r="Q772" s="2351"/>
      <c r="R772" s="2351"/>
      <c r="S772" s="2351"/>
      <c r="T772" s="2351"/>
      <c r="U772" s="2351"/>
      <c r="V772" s="2351"/>
      <c r="W772" s="2351"/>
      <c r="X772" s="2351"/>
      <c r="Y772" s="2351"/>
      <c r="Z772" s="2351"/>
      <c r="AA772" s="2351"/>
      <c r="AB772" s="2351"/>
      <c r="AC772" s="2351"/>
      <c r="AD772" s="2351"/>
      <c r="AE772" s="1193"/>
      <c r="AF772" s="1193"/>
      <c r="AG772" s="1193"/>
      <c r="AH772" s="1193"/>
      <c r="AI772" s="1193"/>
      <c r="AJ772" s="1193"/>
      <c r="AK772" s="1193"/>
      <c r="AL772" s="1193"/>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186"/>
      <c r="F773" s="1186"/>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c r="AB773" s="1186"/>
      <c r="AC773" s="1186"/>
      <c r="AD773" s="1186"/>
      <c r="AE773" s="1193"/>
      <c r="AF773" s="385"/>
      <c r="AG773" s="385"/>
      <c r="AH773" s="385"/>
      <c r="AI773" s="385"/>
      <c r="AJ773" s="385"/>
      <c r="AK773" s="385"/>
      <c r="AL773" s="385"/>
      <c r="AM773" s="454"/>
      <c r="AN773" s="439"/>
    </row>
    <row r="774" spans="1:81" s="398" customFormat="1" ht="12.75" customHeight="1">
      <c r="B774" s="456"/>
      <c r="C774" s="743"/>
      <c r="D774" s="500" t="s">
        <v>27</v>
      </c>
      <c r="E774" s="2462" t="s">
        <v>2552</v>
      </c>
      <c r="F774" s="2462"/>
      <c r="G774" s="2462"/>
      <c r="H774" s="2462"/>
      <c r="I774" s="2462"/>
      <c r="J774" s="2462"/>
      <c r="K774" s="2462"/>
      <c r="L774" s="2462"/>
      <c r="M774" s="2462"/>
      <c r="N774" s="2462"/>
      <c r="O774" s="2462"/>
      <c r="P774" s="2462"/>
      <c r="Q774" s="2462"/>
      <c r="R774" s="2462"/>
      <c r="S774" s="2462"/>
      <c r="T774" s="2462"/>
      <c r="U774" s="2462"/>
      <c r="V774" s="2462"/>
      <c r="W774" s="2462"/>
      <c r="X774" s="2462"/>
      <c r="Y774" s="2462"/>
      <c r="Z774" s="2462"/>
      <c r="AA774" s="2462"/>
      <c r="AB774" s="2462"/>
      <c r="AC774" s="2462"/>
      <c r="AD774" s="2462"/>
      <c r="AE774" s="385"/>
      <c r="AF774" s="2451" t="s">
        <v>2206</v>
      </c>
      <c r="AG774" s="2451"/>
      <c r="AH774" s="2451"/>
      <c r="AI774" s="2451"/>
      <c r="AJ774" s="2451"/>
      <c r="AK774" s="2451"/>
      <c r="AL774" s="2451"/>
      <c r="AM774" s="454"/>
      <c r="AN774" s="439"/>
    </row>
    <row r="775" spans="1:81" s="398" customFormat="1" ht="12.75" customHeight="1">
      <c r="B775" s="456"/>
      <c r="C775" s="743"/>
      <c r="D775" s="500"/>
      <c r="E775" s="2462"/>
      <c r="F775" s="2462"/>
      <c r="G775" s="2462"/>
      <c r="H775" s="2462"/>
      <c r="I775" s="2462"/>
      <c r="J775" s="2462"/>
      <c r="K775" s="2462"/>
      <c r="L775" s="2462"/>
      <c r="M775" s="2462"/>
      <c r="N775" s="2462"/>
      <c r="O775" s="2462"/>
      <c r="P775" s="2462"/>
      <c r="Q775" s="2462"/>
      <c r="R775" s="2462"/>
      <c r="S775" s="2462"/>
      <c r="T775" s="2462"/>
      <c r="U775" s="2462"/>
      <c r="V775" s="2462"/>
      <c r="W775" s="2462"/>
      <c r="X775" s="2462"/>
      <c r="Y775" s="2462"/>
      <c r="Z775" s="2462"/>
      <c r="AA775" s="2462"/>
      <c r="AB775" s="2462"/>
      <c r="AC775" s="2462"/>
      <c r="AD775" s="2462"/>
      <c r="AE775" s="1193"/>
      <c r="AF775" s="1193"/>
      <c r="AG775" s="1193"/>
      <c r="AH775" s="1193"/>
      <c r="AI775" s="1193"/>
      <c r="AJ775" s="1193"/>
      <c r="AK775" s="1193"/>
      <c r="AL775" s="1193"/>
      <c r="AM775" s="454"/>
      <c r="AN775" s="439"/>
    </row>
    <row r="776" spans="1:81" s="398" customFormat="1" ht="12.75" customHeight="1">
      <c r="B776" s="456"/>
      <c r="C776" s="743"/>
      <c r="D776" s="500"/>
      <c r="E776" s="2462"/>
      <c r="F776" s="2462"/>
      <c r="G776" s="2462"/>
      <c r="H776" s="2462"/>
      <c r="I776" s="2462"/>
      <c r="J776" s="2462"/>
      <c r="K776" s="2462"/>
      <c r="L776" s="2462"/>
      <c r="M776" s="2462"/>
      <c r="N776" s="2462"/>
      <c r="O776" s="2462"/>
      <c r="P776" s="2462"/>
      <c r="Q776" s="2462"/>
      <c r="R776" s="2462"/>
      <c r="S776" s="2462"/>
      <c r="T776" s="2462"/>
      <c r="U776" s="2462"/>
      <c r="V776" s="2462"/>
      <c r="W776" s="2462"/>
      <c r="X776" s="2462"/>
      <c r="Y776" s="2462"/>
      <c r="Z776" s="2462"/>
      <c r="AA776" s="2462"/>
      <c r="AB776" s="2462"/>
      <c r="AC776" s="2462"/>
      <c r="AD776" s="2462"/>
      <c r="AE776" s="1193"/>
      <c r="AF776" s="1193"/>
      <c r="AG776" s="1193"/>
      <c r="AH776" s="1193"/>
      <c r="AI776" s="1193"/>
      <c r="AJ776" s="1193"/>
      <c r="AK776" s="1193"/>
      <c r="AL776" s="1193"/>
      <c r="AM776" s="454"/>
      <c r="AN776" s="439"/>
    </row>
    <row r="777" spans="1:81" s="398" customFormat="1" ht="12.75" customHeight="1">
      <c r="B777" s="456"/>
      <c r="C777" s="743"/>
      <c r="D777" s="500"/>
      <c r="E777" s="2462"/>
      <c r="F777" s="2462"/>
      <c r="G777" s="2462"/>
      <c r="H777" s="2462"/>
      <c r="I777" s="2462"/>
      <c r="J777" s="2462"/>
      <c r="K777" s="2462"/>
      <c r="L777" s="2462"/>
      <c r="M777" s="2462"/>
      <c r="N777" s="2462"/>
      <c r="O777" s="2462"/>
      <c r="P777" s="2462"/>
      <c r="Q777" s="2462"/>
      <c r="R777" s="2462"/>
      <c r="S777" s="2462"/>
      <c r="T777" s="2462"/>
      <c r="U777" s="2462"/>
      <c r="V777" s="2462"/>
      <c r="W777" s="2462"/>
      <c r="X777" s="2462"/>
      <c r="Y777" s="2462"/>
      <c r="Z777" s="2462"/>
      <c r="AA777" s="2462"/>
      <c r="AB777" s="2462"/>
      <c r="AC777" s="2462"/>
      <c r="AD777" s="2462"/>
      <c r="AE777" s="1193"/>
      <c r="AF777" s="1193"/>
      <c r="AG777" s="1193"/>
      <c r="AH777" s="1193"/>
      <c r="AI777" s="1193"/>
      <c r="AJ777" s="1193"/>
      <c r="AK777" s="1193"/>
      <c r="AL777" s="1193"/>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2482</v>
      </c>
      <c r="E779" s="1212"/>
      <c r="F779" s="1212"/>
      <c r="G779" s="1212"/>
      <c r="H779" s="2375" t="s">
        <v>798</v>
      </c>
      <c r="I779" s="2375"/>
      <c r="J779" s="1200"/>
      <c r="K779" s="1200"/>
      <c r="L779" s="1200"/>
      <c r="M779" s="1200"/>
      <c r="N779" s="1200"/>
      <c r="O779" s="1200"/>
      <c r="P779" s="1200"/>
      <c r="Q779" s="1200"/>
      <c r="R779" s="1200"/>
      <c r="S779" s="1200"/>
      <c r="T779" s="1200"/>
      <c r="U779" s="1200"/>
      <c r="V779" s="1200"/>
      <c r="W779" s="1200"/>
      <c r="X779" s="1200"/>
      <c r="Y779" s="1200"/>
      <c r="Z779" s="1200"/>
      <c r="AA779" s="1200"/>
      <c r="AB779" s="1200"/>
      <c r="AC779" s="1200"/>
      <c r="AD779" s="1200"/>
      <c r="AE779" s="1200"/>
      <c r="AF779" s="1200"/>
      <c r="AG779" s="456"/>
      <c r="AH779" s="385"/>
      <c r="AI779" s="1187"/>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187"/>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2553</v>
      </c>
      <c r="AJ781" s="2358">
        <f>VLOOKUP($H$779,$AO$769:$AP$771,2,FALSE)</f>
        <v>0</v>
      </c>
      <c r="AK781" s="2360"/>
      <c r="AL781" s="437"/>
      <c r="AN781" s="439"/>
    </row>
    <row r="782" spans="1:81" s="416" customFormat="1" ht="13">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187"/>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ht="13">
      <c r="A783" s="398"/>
      <c r="B783" s="456"/>
      <c r="C783" s="388" t="s">
        <v>2554</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187"/>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798</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75" customHeight="1">
      <c r="A785" s="398"/>
      <c r="B785" s="456"/>
      <c r="C785" s="743"/>
      <c r="D785" s="500" t="s">
        <v>22</v>
      </c>
      <c r="E785" s="2351" t="s">
        <v>2555</v>
      </c>
      <c r="F785" s="2351"/>
      <c r="G785" s="2351"/>
      <c r="H785" s="2351"/>
      <c r="I785" s="2351"/>
      <c r="J785" s="2351"/>
      <c r="K785" s="2351"/>
      <c r="L785" s="2351"/>
      <c r="M785" s="2351"/>
      <c r="N785" s="2351"/>
      <c r="O785" s="2351"/>
      <c r="P785" s="2351"/>
      <c r="Q785" s="2351"/>
      <c r="R785" s="2351"/>
      <c r="S785" s="2351"/>
      <c r="T785" s="2351"/>
      <c r="U785" s="2351"/>
      <c r="V785" s="2351"/>
      <c r="W785" s="2351"/>
      <c r="X785" s="2351"/>
      <c r="Y785" s="2351"/>
      <c r="Z785" s="2351"/>
      <c r="AA785" s="2351"/>
      <c r="AB785" s="2351"/>
      <c r="AC785" s="2351"/>
      <c r="AD785" s="2351"/>
      <c r="AE785" s="385"/>
      <c r="AF785" s="2451" t="s">
        <v>2206</v>
      </c>
      <c r="AG785" s="2451"/>
      <c r="AH785" s="2451"/>
      <c r="AI785" s="2451"/>
      <c r="AJ785" s="2451"/>
      <c r="AK785" s="2451"/>
      <c r="AL785" s="2451"/>
      <c r="AM785" s="454"/>
      <c r="AN785" s="520"/>
      <c r="AO785" s="452" t="s">
        <v>847</v>
      </c>
      <c r="AP785" s="398">
        <v>3</v>
      </c>
      <c r="AT785" s="511"/>
      <c r="AU785" s="511"/>
      <c r="AV785" s="511"/>
      <c r="AW785" s="511"/>
      <c r="AX785" s="511"/>
      <c r="AY785" s="511"/>
      <c r="AZ785" s="511"/>
    </row>
    <row r="786" spans="1:81" s="416" customFormat="1" ht="13.75" customHeight="1">
      <c r="A786" s="398"/>
      <c r="B786" s="456"/>
      <c r="C786" s="743"/>
      <c r="D786" s="500"/>
      <c r="E786" s="2351"/>
      <c r="F786" s="2351"/>
      <c r="G786" s="2351"/>
      <c r="H786" s="2351"/>
      <c r="I786" s="2351"/>
      <c r="J786" s="2351"/>
      <c r="K786" s="2351"/>
      <c r="L786" s="2351"/>
      <c r="M786" s="2351"/>
      <c r="N786" s="2351"/>
      <c r="O786" s="2351"/>
      <c r="P786" s="2351"/>
      <c r="Q786" s="2351"/>
      <c r="R786" s="2351"/>
      <c r="S786" s="2351"/>
      <c r="T786" s="2351"/>
      <c r="U786" s="2351"/>
      <c r="V786" s="2351"/>
      <c r="W786" s="2351"/>
      <c r="X786" s="2351"/>
      <c r="Y786" s="2351"/>
      <c r="Z786" s="2351"/>
      <c r="AA786" s="2351"/>
      <c r="AB786" s="2351"/>
      <c r="AC786" s="2351"/>
      <c r="AD786" s="2351"/>
      <c r="AE786" s="385"/>
      <c r="AF786" s="1193"/>
      <c r="AG786" s="1193"/>
      <c r="AH786" s="1193"/>
      <c r="AI786" s="1193"/>
      <c r="AJ786" s="1193"/>
      <c r="AK786" s="1193"/>
      <c r="AL786" s="1193"/>
      <c r="AM786" s="454"/>
      <c r="AN786" s="520"/>
      <c r="AO786" s="452"/>
      <c r="AP786" s="398"/>
      <c r="AT786" s="511"/>
      <c r="AU786" s="511"/>
      <c r="AV786" s="511"/>
      <c r="AW786" s="511"/>
      <c r="AX786" s="511"/>
      <c r="AY786" s="511"/>
      <c r="AZ786" s="511"/>
    </row>
    <row r="787" spans="1:81" s="416" customFormat="1" ht="13">
      <c r="A787" s="398"/>
      <c r="B787" s="456"/>
      <c r="C787" s="743"/>
      <c r="D787" s="500"/>
      <c r="E787" s="2351"/>
      <c r="F787" s="2351"/>
      <c r="G787" s="2351"/>
      <c r="H787" s="2351"/>
      <c r="I787" s="2351"/>
      <c r="J787" s="2351"/>
      <c r="K787" s="2351"/>
      <c r="L787" s="2351"/>
      <c r="M787" s="2351"/>
      <c r="N787" s="2351"/>
      <c r="O787" s="2351"/>
      <c r="P787" s="2351"/>
      <c r="Q787" s="2351"/>
      <c r="R787" s="2351"/>
      <c r="S787" s="2351"/>
      <c r="T787" s="2351"/>
      <c r="U787" s="2351"/>
      <c r="V787" s="2351"/>
      <c r="W787" s="2351"/>
      <c r="X787" s="2351"/>
      <c r="Y787" s="2351"/>
      <c r="Z787" s="2351"/>
      <c r="AA787" s="2351"/>
      <c r="AB787" s="2351"/>
      <c r="AC787" s="2351"/>
      <c r="AD787" s="2351"/>
      <c r="AE787" s="1193"/>
      <c r="AF787" s="1193"/>
      <c r="AG787" s="1193"/>
      <c r="AH787" s="1193"/>
      <c r="AI787" s="1193"/>
      <c r="AJ787" s="1193"/>
      <c r="AK787" s="1193"/>
      <c r="AL787" s="1193"/>
      <c r="AM787" s="454"/>
      <c r="AN787" s="520"/>
      <c r="AO787" s="452"/>
      <c r="AP787" s="398"/>
      <c r="AT787" s="511"/>
      <c r="AU787" s="511"/>
      <c r="AV787" s="511"/>
      <c r="AW787" s="511"/>
      <c r="AX787" s="511"/>
      <c r="AY787" s="511"/>
      <c r="AZ787" s="511"/>
    </row>
    <row r="788" spans="1:81" s="416" customFormat="1" ht="13">
      <c r="A788" s="398"/>
      <c r="B788" s="456"/>
      <c r="C788" s="743"/>
      <c r="D788" s="500"/>
      <c r="E788" s="2351"/>
      <c r="F788" s="2351"/>
      <c r="G788" s="2351"/>
      <c r="H788" s="2351"/>
      <c r="I788" s="2351"/>
      <c r="J788" s="2351"/>
      <c r="K788" s="2351"/>
      <c r="L788" s="2351"/>
      <c r="M788" s="2351"/>
      <c r="N788" s="2351"/>
      <c r="O788" s="2351"/>
      <c r="P788" s="2351"/>
      <c r="Q788" s="2351"/>
      <c r="R788" s="2351"/>
      <c r="S788" s="2351"/>
      <c r="T788" s="2351"/>
      <c r="U788" s="2351"/>
      <c r="V788" s="2351"/>
      <c r="W788" s="2351"/>
      <c r="X788" s="2351"/>
      <c r="Y788" s="2351"/>
      <c r="Z788" s="2351"/>
      <c r="AA788" s="2351"/>
      <c r="AB788" s="2351"/>
      <c r="AC788" s="2351"/>
      <c r="AD788" s="2351"/>
      <c r="AE788" s="1193"/>
      <c r="AF788" s="1193"/>
      <c r="AG788" s="1193"/>
      <c r="AH788" s="1193"/>
      <c r="AI788" s="1193"/>
      <c r="AJ788" s="1193"/>
      <c r="AK788" s="1193"/>
      <c r="AL788" s="1193"/>
      <c r="AM788" s="454"/>
      <c r="AN788" s="520"/>
      <c r="AO788" s="527"/>
      <c r="AT788" s="511"/>
      <c r="AU788" s="511"/>
      <c r="AV788" s="511"/>
      <c r="AW788" s="511"/>
      <c r="AX788" s="511"/>
      <c r="AY788" s="511"/>
      <c r="AZ788" s="511"/>
    </row>
    <row r="789" spans="1:81" s="416" customFormat="1" ht="13">
      <c r="A789" s="398"/>
      <c r="B789" s="456"/>
      <c r="C789" s="743"/>
      <c r="D789" s="500"/>
      <c r="E789" s="1200"/>
      <c r="F789" s="1200"/>
      <c r="G789" s="1200"/>
      <c r="H789" s="1200"/>
      <c r="I789" s="1200"/>
      <c r="J789" s="1200"/>
      <c r="K789" s="1200"/>
      <c r="L789" s="1200"/>
      <c r="M789" s="1200"/>
      <c r="N789" s="1200"/>
      <c r="O789" s="1200"/>
      <c r="P789" s="1200"/>
      <c r="Q789" s="1200"/>
      <c r="R789" s="1200"/>
      <c r="S789" s="1200"/>
      <c r="T789" s="1200"/>
      <c r="U789" s="1200"/>
      <c r="V789" s="1200"/>
      <c r="W789" s="1200"/>
      <c r="X789" s="1200"/>
      <c r="Y789" s="1200"/>
      <c r="Z789" s="1200"/>
      <c r="AA789" s="1200"/>
      <c r="AB789" s="1200"/>
      <c r="AC789" s="1200"/>
      <c r="AD789" s="1200"/>
      <c r="AE789" s="1193"/>
      <c r="AF789" s="1193"/>
      <c r="AG789" s="1193"/>
      <c r="AH789" s="1193"/>
      <c r="AI789" s="1193"/>
      <c r="AJ789" s="1193"/>
      <c r="AK789" s="1193"/>
      <c r="AL789" s="1193"/>
      <c r="AM789" s="454"/>
      <c r="AN789" s="520"/>
      <c r="AO789" s="527"/>
      <c r="AT789" s="511"/>
      <c r="AU789" s="511"/>
      <c r="AV789" s="511"/>
      <c r="AW789" s="511"/>
      <c r="AX789" s="511"/>
      <c r="AY789" s="511"/>
      <c r="AZ789" s="511"/>
    </row>
    <row r="790" spans="1:81" s="416" customFormat="1" ht="13">
      <c r="A790" s="398"/>
      <c r="B790" s="456"/>
      <c r="C790" s="743"/>
      <c r="D790" s="385" t="s">
        <v>2482</v>
      </c>
      <c r="E790" s="1212"/>
      <c r="F790" s="1212"/>
      <c r="G790" s="1212"/>
      <c r="H790" s="2375" t="s">
        <v>798</v>
      </c>
      <c r="I790" s="2375"/>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187"/>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ht="13">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2556</v>
      </c>
      <c r="AJ792" s="2358">
        <f>VLOOKUP($H$790,$AO$784:$AP$785,2,FALSE)</f>
        <v>0</v>
      </c>
      <c r="AK792" s="2360"/>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2557</v>
      </c>
      <c r="AK794" s="2358">
        <f>IF(($AJ$621+$AJ$640+$AJ$652+$AJ$687+$AJ$711+$AJ$725+$AJ$737+$AJ$753+$AJ$765+$AJ$781+AJ792)&gt;10,10,($AJ$621+$AJ$640+$AJ$652+$AJ$687+$AJ$711+$AJ$725+$AJ$737+$AJ$753+$AJ$765+$AJ$781+AJ792))</f>
        <v>10</v>
      </c>
      <c r="AL794" s="2359"/>
      <c r="AM794" s="2360"/>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187"/>
      <c r="AJ795" s="1187"/>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2442" t="s">
        <v>2558</v>
      </c>
      <c r="B797" s="2443"/>
      <c r="C797" s="2443"/>
      <c r="D797" s="2443"/>
      <c r="E797" s="2443"/>
      <c r="F797" s="2443"/>
      <c r="G797" s="2443"/>
      <c r="H797" s="2443"/>
      <c r="I797" s="2443"/>
      <c r="J797" s="2443"/>
      <c r="K797" s="2443"/>
      <c r="L797" s="2443"/>
      <c r="M797" s="2443"/>
      <c r="N797" s="2443"/>
      <c r="O797" s="2443"/>
      <c r="P797" s="2443"/>
      <c r="Q797" s="2443"/>
      <c r="R797" s="2443"/>
      <c r="S797" s="2443"/>
      <c r="T797" s="2443"/>
      <c r="U797" s="2443"/>
      <c r="V797" s="2443"/>
      <c r="W797" s="2443"/>
      <c r="X797" s="2443"/>
      <c r="Y797" s="2443"/>
      <c r="Z797" s="2443"/>
      <c r="AA797" s="2443"/>
      <c r="AB797" s="2443"/>
      <c r="AC797" s="2443"/>
      <c r="AD797" s="2443"/>
      <c r="AE797" s="2443"/>
      <c r="AF797" s="2443"/>
      <c r="AG797" s="2443"/>
      <c r="AH797" s="2443"/>
      <c r="AI797" s="2443"/>
      <c r="AJ797" s="2443"/>
      <c r="AK797" s="2443"/>
      <c r="AL797" s="2443"/>
      <c r="AM797" s="2443"/>
    </row>
    <row r="798" spans="1:81">
      <c r="A798" s="2444"/>
      <c r="B798" s="2444"/>
      <c r="C798" s="2444"/>
      <c r="D798" s="2444"/>
      <c r="E798" s="2444"/>
      <c r="F798" s="2444"/>
      <c r="G798" s="2444"/>
      <c r="H798" s="2444"/>
      <c r="I798" s="2444"/>
      <c r="J798" s="2444"/>
      <c r="K798" s="2444"/>
      <c r="L798" s="2444"/>
      <c r="M798" s="2444"/>
      <c r="N798" s="2444"/>
      <c r="O798" s="2444"/>
      <c r="P798" s="2444"/>
      <c r="Q798" s="2444"/>
      <c r="R798" s="2444"/>
      <c r="S798" s="2444"/>
      <c r="T798" s="2444"/>
      <c r="U798" s="2444"/>
      <c r="V798" s="2444"/>
      <c r="W798" s="2444"/>
      <c r="X798" s="2444"/>
      <c r="Y798" s="2444"/>
      <c r="Z798" s="2444"/>
      <c r="AA798" s="2444"/>
      <c r="AB798" s="2444"/>
      <c r="AC798" s="2444"/>
      <c r="AD798" s="2444"/>
      <c r="AE798" s="2444"/>
      <c r="AF798" s="2444"/>
      <c r="AG798" s="2444"/>
      <c r="AH798" s="2444"/>
      <c r="AI798" s="2444"/>
      <c r="AJ798" s="2444"/>
      <c r="AK798" s="2444"/>
      <c r="AL798" s="2444"/>
      <c r="AM798" s="2444"/>
      <c r="AO798" s="646"/>
      <c r="AP798" s="646"/>
      <c r="AQ798" s="646"/>
    </row>
    <row r="799" spans="1:81" ht="13">
      <c r="A799" s="398"/>
      <c r="B799" s="417"/>
      <c r="C799" s="418"/>
      <c r="D799" s="418"/>
      <c r="E799" s="418"/>
      <c r="F799" s="418"/>
      <c r="G799" s="418"/>
      <c r="H799" s="418"/>
      <c r="I799" s="1207"/>
      <c r="J799" s="1207"/>
      <c r="K799" s="1207"/>
      <c r="L799" s="1207"/>
      <c r="M799" s="1207"/>
      <c r="N799" s="1207"/>
      <c r="O799" s="1207"/>
      <c r="P799" s="1207"/>
      <c r="Q799" s="1207"/>
      <c r="S799" s="388"/>
      <c r="T799" s="388"/>
      <c r="U799" s="388"/>
      <c r="V799" s="388"/>
      <c r="W799" s="388"/>
      <c r="X799" s="388"/>
      <c r="Y799" s="388"/>
      <c r="Z799" s="388"/>
      <c r="AA799" s="388"/>
      <c r="AB799" s="388"/>
      <c r="AC799" s="388"/>
      <c r="AD799" s="388"/>
      <c r="AE799" s="388"/>
      <c r="AG799" s="388"/>
      <c r="AH799" s="388"/>
      <c r="AI799" s="388"/>
      <c r="AJ799" s="388"/>
      <c r="AK799" s="398"/>
      <c r="AL799" s="398"/>
      <c r="AM799" s="386"/>
      <c r="AO799" s="646"/>
      <c r="AP799" s="646"/>
      <c r="AQ799" s="646"/>
    </row>
    <row r="800" spans="1:81" ht="13">
      <c r="A800" s="2373"/>
      <c r="B800" s="2373"/>
      <c r="C800" s="2373"/>
      <c r="D800" s="2373"/>
      <c r="E800" s="2373"/>
      <c r="F800" s="2373"/>
      <c r="G800" s="2373"/>
      <c r="H800" s="2373"/>
      <c r="I800" s="2373"/>
      <c r="J800" s="2373"/>
      <c r="K800" s="2373"/>
      <c r="L800" s="2373"/>
      <c r="M800" s="2373"/>
      <c r="N800" s="2373"/>
      <c r="O800" s="2373"/>
      <c r="P800" s="2373"/>
      <c r="Q800" s="2373"/>
      <c r="R800" s="2373"/>
      <c r="S800" s="2373"/>
      <c r="T800" s="2373"/>
      <c r="U800" s="2373"/>
      <c r="V800" s="2373"/>
      <c r="W800" s="2373"/>
      <c r="X800" s="2373"/>
      <c r="Y800" s="2373"/>
      <c r="Z800" s="2373"/>
      <c r="AA800" s="2373"/>
      <c r="AB800" s="2373"/>
      <c r="AC800" s="2373"/>
      <c r="AD800" s="2373"/>
      <c r="AE800" s="2373"/>
      <c r="AF800" s="2373"/>
      <c r="AG800" s="2373"/>
      <c r="AH800" s="2373"/>
      <c r="AI800" s="2373"/>
      <c r="AJ800" s="2373"/>
      <c r="AK800" s="2373"/>
      <c r="AL800" s="2373"/>
      <c r="AM800" s="2373"/>
      <c r="AP800" s="646"/>
      <c r="AQ800" s="646"/>
    </row>
    <row r="801" spans="1:81" ht="13">
      <c r="A801" s="2373"/>
      <c r="B801" s="2373"/>
      <c r="C801" s="2373"/>
      <c r="D801" s="2373"/>
      <c r="E801" s="2373"/>
      <c r="F801" s="2373"/>
      <c r="G801" s="2373"/>
      <c r="H801" s="2373"/>
      <c r="I801" s="2373"/>
      <c r="J801" s="2373"/>
      <c r="K801" s="2373"/>
      <c r="L801" s="2373"/>
      <c r="M801" s="2373"/>
      <c r="N801" s="2373"/>
      <c r="O801" s="2373"/>
      <c r="P801" s="2373"/>
      <c r="Q801" s="2373"/>
      <c r="R801" s="2373"/>
      <c r="S801" s="2373"/>
      <c r="T801" s="2373"/>
      <c r="U801" s="2373"/>
      <c r="V801" s="2373"/>
      <c r="W801" s="2373"/>
      <c r="X801" s="2373"/>
      <c r="Y801" s="2373"/>
      <c r="Z801" s="2373"/>
      <c r="AA801" s="2373"/>
      <c r="AB801" s="2373"/>
      <c r="AC801" s="2373"/>
      <c r="AD801" s="2373"/>
      <c r="AE801" s="2373"/>
      <c r="AF801" s="2373"/>
      <c r="AG801" s="2373"/>
      <c r="AH801" s="2373"/>
      <c r="AI801" s="2373"/>
      <c r="AJ801" s="2373"/>
      <c r="AK801" s="2373"/>
      <c r="AL801" s="2373"/>
      <c r="AM801" s="2373"/>
      <c r="AO801" s="646"/>
      <c r="AQ801" s="646"/>
    </row>
    <row r="802" spans="1:81" ht="13">
      <c r="A802" s="647"/>
      <c r="B802" s="504"/>
      <c r="C802" s="504"/>
      <c r="D802" s="504"/>
      <c r="E802" s="504"/>
      <c r="F802" s="504"/>
      <c r="G802" s="504"/>
      <c r="H802" s="504"/>
      <c r="I802" s="504"/>
      <c r="J802" s="504"/>
      <c r="K802" s="504"/>
      <c r="L802" s="504"/>
      <c r="M802" s="504"/>
      <c r="N802" s="504"/>
      <c r="O802" s="504"/>
      <c r="P802" s="504"/>
      <c r="Q802" s="504"/>
      <c r="R802" s="504"/>
      <c r="S802" s="506"/>
      <c r="T802" s="2445" t="s">
        <v>2559</v>
      </c>
      <c r="U802" s="2446"/>
      <c r="V802" s="2446"/>
      <c r="W802" s="2446"/>
      <c r="X802" s="2446"/>
      <c r="Y802" s="2447"/>
      <c r="Z802" s="2445" t="s">
        <v>2560</v>
      </c>
      <c r="AA802" s="2446"/>
      <c r="AB802" s="2446"/>
      <c r="AC802" s="2446"/>
      <c r="AD802" s="2446"/>
      <c r="AE802" s="2447"/>
      <c r="AF802" s="2445" t="s">
        <v>2561</v>
      </c>
      <c r="AG802" s="2446"/>
      <c r="AH802" s="2446"/>
      <c r="AI802" s="2446"/>
      <c r="AJ802" s="2446"/>
      <c r="AK802" s="2447"/>
      <c r="AL802" s="648"/>
      <c r="AM802" s="438"/>
      <c r="AO802" s="646"/>
      <c r="AP802" s="646"/>
      <c r="AQ802" s="646"/>
    </row>
    <row r="803" spans="1:81" ht="13">
      <c r="A803" s="649"/>
      <c r="B803" s="529"/>
      <c r="C803" s="529"/>
      <c r="D803" s="529"/>
      <c r="E803" s="529"/>
      <c r="F803" s="529"/>
      <c r="G803" s="529"/>
      <c r="H803" s="529"/>
      <c r="I803" s="529"/>
      <c r="J803" s="529"/>
      <c r="K803" s="529"/>
      <c r="L803" s="529"/>
      <c r="M803" s="529"/>
      <c r="N803" s="529"/>
      <c r="O803" s="529"/>
      <c r="P803" s="529"/>
      <c r="Q803" s="529"/>
      <c r="R803" s="529"/>
      <c r="S803" s="543"/>
      <c r="T803" s="2448"/>
      <c r="U803" s="2449"/>
      <c r="V803" s="2449"/>
      <c r="W803" s="2449"/>
      <c r="X803" s="2449"/>
      <c r="Y803" s="2450"/>
      <c r="Z803" s="2448"/>
      <c r="AA803" s="2449"/>
      <c r="AB803" s="2449"/>
      <c r="AC803" s="2449"/>
      <c r="AD803" s="2449"/>
      <c r="AE803" s="2450"/>
      <c r="AF803" s="2448"/>
      <c r="AG803" s="2449"/>
      <c r="AH803" s="2449"/>
      <c r="AI803" s="2449"/>
      <c r="AJ803" s="2449"/>
      <c r="AK803" s="2450"/>
      <c r="AL803" s="648"/>
      <c r="AM803" s="438"/>
      <c r="AO803" s="646"/>
      <c r="AP803" s="646"/>
      <c r="AQ803" s="646"/>
    </row>
    <row r="804" spans="1:81" ht="13">
      <c r="A804" s="649" t="s">
        <v>53</v>
      </c>
      <c r="B804" s="2402" t="s">
        <v>2120</v>
      </c>
      <c r="C804" s="2402"/>
      <c r="D804" s="2402"/>
      <c r="E804" s="2402"/>
      <c r="F804" s="2402"/>
      <c r="G804" s="2402"/>
      <c r="H804" s="2402"/>
      <c r="I804" s="2402"/>
      <c r="J804" s="2402"/>
      <c r="K804" s="2402"/>
      <c r="L804" s="2402"/>
      <c r="M804" s="2402"/>
      <c r="N804" s="2402"/>
      <c r="O804" s="2402"/>
      <c r="P804" s="2402"/>
      <c r="Q804" s="2402"/>
      <c r="R804" s="2402"/>
      <c r="S804" s="2403"/>
      <c r="T804" s="2430">
        <f>AK62</f>
        <v>0</v>
      </c>
      <c r="U804" s="2406"/>
      <c r="V804" s="2406"/>
      <c r="W804" s="2406"/>
      <c r="X804" s="2406"/>
      <c r="Y804" s="2407"/>
      <c r="Z804" s="2405">
        <v>20</v>
      </c>
      <c r="AA804" s="2406"/>
      <c r="AB804" s="2406"/>
      <c r="AC804" s="2406"/>
      <c r="AD804" s="2406"/>
      <c r="AE804" s="2407"/>
      <c r="AF804" s="2370">
        <f>IF(T804&gt;Z804,Z804,T804)</f>
        <v>0</v>
      </c>
      <c r="AG804" s="2370"/>
      <c r="AH804" s="2370"/>
      <c r="AI804" s="2370"/>
      <c r="AJ804" s="2370"/>
      <c r="AK804" s="2370"/>
      <c r="AL804" s="648"/>
      <c r="AM804" s="438"/>
      <c r="AO804" s="646"/>
      <c r="AP804" s="646"/>
      <c r="AQ804" s="646"/>
    </row>
    <row r="805" spans="1:81" ht="13">
      <c r="A805" s="649" t="s">
        <v>2413</v>
      </c>
      <c r="B805" s="2402" t="s">
        <v>619</v>
      </c>
      <c r="C805" s="2402"/>
      <c r="D805" s="2402"/>
      <c r="E805" s="2402"/>
      <c r="F805" s="2402"/>
      <c r="G805" s="2402"/>
      <c r="H805" s="2402"/>
      <c r="I805" s="2402"/>
      <c r="J805" s="2402"/>
      <c r="K805" s="2402"/>
      <c r="L805" s="2402"/>
      <c r="M805" s="2402"/>
      <c r="N805" s="2402"/>
      <c r="O805" s="2402"/>
      <c r="P805" s="2402"/>
      <c r="Q805" s="2402"/>
      <c r="R805" s="2402"/>
      <c r="S805" s="2403"/>
      <c r="T805" s="2430">
        <f>AK84</f>
        <v>10</v>
      </c>
      <c r="U805" s="2406"/>
      <c r="V805" s="2406"/>
      <c r="W805" s="2406"/>
      <c r="X805" s="2406"/>
      <c r="Y805" s="2407"/>
      <c r="Z805" s="2405">
        <v>10</v>
      </c>
      <c r="AA805" s="2406"/>
      <c r="AB805" s="2406"/>
      <c r="AC805" s="2406"/>
      <c r="AD805" s="2406"/>
      <c r="AE805" s="2407"/>
      <c r="AF805" s="2370">
        <f>IF(T805&gt;Z805,Z805,T805)</f>
        <v>10</v>
      </c>
      <c r="AG805" s="2370"/>
      <c r="AH805" s="2370"/>
      <c r="AI805" s="2370"/>
      <c r="AJ805" s="2370"/>
      <c r="AK805" s="2370"/>
      <c r="AL805" s="648"/>
      <c r="AM805" s="438"/>
      <c r="AO805" s="646"/>
      <c r="AP805" s="646"/>
      <c r="AQ805" s="646"/>
    </row>
    <row r="806" spans="1:81" ht="13">
      <c r="A806" s="649" t="s">
        <v>2422</v>
      </c>
      <c r="B806" s="2402" t="s">
        <v>2160</v>
      </c>
      <c r="C806" s="2402"/>
      <c r="D806" s="2402"/>
      <c r="E806" s="2402"/>
      <c r="F806" s="2402"/>
      <c r="G806" s="2402"/>
      <c r="H806" s="2402"/>
      <c r="I806" s="2402"/>
      <c r="J806" s="2402"/>
      <c r="K806" s="2402"/>
      <c r="L806" s="2402"/>
      <c r="M806" s="2402"/>
      <c r="N806" s="2402"/>
      <c r="O806" s="2402"/>
      <c r="P806" s="2402"/>
      <c r="Q806" s="2402"/>
      <c r="R806" s="2402"/>
      <c r="S806" s="2403"/>
      <c r="T806" s="2430">
        <f>AK109</f>
        <v>20</v>
      </c>
      <c r="U806" s="2406"/>
      <c r="V806" s="2406"/>
      <c r="W806" s="2406"/>
      <c r="X806" s="2406"/>
      <c r="Y806" s="2407"/>
      <c r="Z806" s="2405">
        <v>20</v>
      </c>
      <c r="AA806" s="2406"/>
      <c r="AB806" s="2406"/>
      <c r="AC806" s="2406"/>
      <c r="AD806" s="2406"/>
      <c r="AE806" s="2407"/>
      <c r="AF806" s="2370">
        <f>IF(T806&gt;Z806,Z806,T806)</f>
        <v>20</v>
      </c>
      <c r="AG806" s="2370"/>
      <c r="AH806" s="2370"/>
      <c r="AI806" s="2370"/>
      <c r="AJ806" s="2370"/>
      <c r="AK806" s="2370"/>
      <c r="AL806" s="648"/>
      <c r="AM806" s="438"/>
      <c r="AO806" s="646"/>
      <c r="AP806" s="646"/>
      <c r="AQ806" s="646"/>
    </row>
    <row r="807" spans="1:81" ht="13">
      <c r="A807" s="649" t="s">
        <v>2562</v>
      </c>
      <c r="B807" s="2402" t="s">
        <v>2171</v>
      </c>
      <c r="C807" s="2402"/>
      <c r="D807" s="2402"/>
      <c r="E807" s="2402"/>
      <c r="F807" s="2402"/>
      <c r="G807" s="2402"/>
      <c r="H807" s="2402"/>
      <c r="I807" s="2402"/>
      <c r="J807" s="2402"/>
      <c r="K807" s="2402"/>
      <c r="L807" s="2402"/>
      <c r="M807" s="2402"/>
      <c r="N807" s="2402"/>
      <c r="O807" s="2402"/>
      <c r="P807" s="2402"/>
      <c r="Q807" s="2402"/>
      <c r="R807" s="2402"/>
      <c r="S807" s="2403"/>
      <c r="T807" s="2430">
        <f>AK143</f>
        <v>10</v>
      </c>
      <c r="U807" s="2406"/>
      <c r="V807" s="2406"/>
      <c r="W807" s="2406"/>
      <c r="X807" s="2406"/>
      <c r="Y807" s="2407"/>
      <c r="Z807" s="2405">
        <v>10</v>
      </c>
      <c r="AA807" s="2406"/>
      <c r="AB807" s="2406"/>
      <c r="AC807" s="2406"/>
      <c r="AD807" s="2406"/>
      <c r="AE807" s="2407"/>
      <c r="AF807" s="2370">
        <f>IF(T807&gt;Z807,Z807,T807)</f>
        <v>10</v>
      </c>
      <c r="AG807" s="2370"/>
      <c r="AH807" s="2370"/>
      <c r="AI807" s="2370"/>
      <c r="AJ807" s="2370"/>
      <c r="AK807" s="2370"/>
      <c r="AL807" s="648"/>
      <c r="AM807" s="438"/>
      <c r="AO807" s="646"/>
      <c r="AP807" s="646"/>
      <c r="AQ807" s="646"/>
    </row>
    <row r="808" spans="1:81" ht="13">
      <c r="A808" s="1217" t="s">
        <v>2563</v>
      </c>
      <c r="B808" s="2402" t="s">
        <v>2564</v>
      </c>
      <c r="C808" s="2402"/>
      <c r="D808" s="2402"/>
      <c r="E808" s="2402"/>
      <c r="F808" s="2402"/>
      <c r="G808" s="2402"/>
      <c r="H808" s="2402"/>
      <c r="I808" s="2402"/>
      <c r="J808" s="2402"/>
      <c r="K808" s="2402"/>
      <c r="L808" s="2402"/>
      <c r="M808" s="2402"/>
      <c r="N808" s="2402"/>
      <c r="O808" s="2402"/>
      <c r="P808" s="2402"/>
      <c r="Q808" s="2402"/>
      <c r="R808" s="2402"/>
      <c r="S808" s="2403"/>
      <c r="T808" s="2404">
        <f>SUM(T809:Y810)</f>
        <v>10</v>
      </c>
      <c r="U808" s="2404"/>
      <c r="V808" s="2404"/>
      <c r="W808" s="2404"/>
      <c r="X808" s="2404"/>
      <c r="Y808" s="2404"/>
      <c r="Z808" s="2370">
        <v>10</v>
      </c>
      <c r="AA808" s="2370"/>
      <c r="AB808" s="2370"/>
      <c r="AC808" s="2370"/>
      <c r="AD808" s="2370"/>
      <c r="AE808" s="2370"/>
      <c r="AF808" s="2370">
        <f>IF(T808&gt;Z808,Z808,T808)</f>
        <v>10</v>
      </c>
      <c r="AG808" s="2370"/>
      <c r="AH808" s="2370"/>
      <c r="AI808" s="2370"/>
      <c r="AJ808" s="2370"/>
      <c r="AK808" s="2370"/>
      <c r="AL808" s="648"/>
      <c r="AM808" s="438"/>
    </row>
    <row r="809" spans="1:81" ht="13">
      <c r="A809" s="384"/>
      <c r="B809" s="443"/>
      <c r="C809" s="2408" t="s">
        <v>2565</v>
      </c>
      <c r="D809" s="2408"/>
      <c r="E809" s="2408"/>
      <c r="F809" s="2408"/>
      <c r="G809" s="2408"/>
      <c r="H809" s="2408"/>
      <c r="I809" s="2408"/>
      <c r="J809" s="2408"/>
      <c r="K809" s="2408"/>
      <c r="L809" s="2408"/>
      <c r="M809" s="2408"/>
      <c r="N809" s="2408"/>
      <c r="O809" s="2408"/>
      <c r="P809" s="2408"/>
      <c r="Q809" s="2408"/>
      <c r="R809" s="2408"/>
      <c r="S809" s="2409"/>
      <c r="T809" s="2410">
        <f>AJ166</f>
        <v>7</v>
      </c>
      <c r="U809" s="2410"/>
      <c r="V809" s="2410"/>
      <c r="W809" s="2410"/>
      <c r="X809" s="2410"/>
      <c r="Y809" s="2410"/>
      <c r="Z809" s="2411">
        <v>7</v>
      </c>
      <c r="AA809" s="2411"/>
      <c r="AB809" s="2411"/>
      <c r="AC809" s="2411"/>
      <c r="AD809" s="2411"/>
      <c r="AE809" s="2411"/>
      <c r="AF809" s="2412"/>
      <c r="AG809" s="2412"/>
      <c r="AH809" s="2412"/>
      <c r="AI809" s="2412"/>
      <c r="AJ809" s="2412"/>
      <c r="AK809" s="2412"/>
      <c r="AL809" s="648"/>
      <c r="AM809" s="438"/>
    </row>
    <row r="810" spans="1:81" ht="13">
      <c r="A810" s="442"/>
      <c r="B810" s="443"/>
      <c r="C810" s="2408" t="s">
        <v>1990</v>
      </c>
      <c r="D810" s="2408"/>
      <c r="E810" s="2408"/>
      <c r="F810" s="2408"/>
      <c r="G810" s="2408"/>
      <c r="H810" s="2408"/>
      <c r="I810" s="2408"/>
      <c r="J810" s="2408"/>
      <c r="K810" s="2408"/>
      <c r="L810" s="2408"/>
      <c r="M810" s="2408"/>
      <c r="N810" s="2408"/>
      <c r="O810" s="2408"/>
      <c r="P810" s="2408"/>
      <c r="Q810" s="2408"/>
      <c r="R810" s="2408"/>
      <c r="S810" s="2409"/>
      <c r="T810" s="2410">
        <f>AJ180</f>
        <v>3</v>
      </c>
      <c r="U810" s="2410"/>
      <c r="V810" s="2410"/>
      <c r="W810" s="2410"/>
      <c r="X810" s="2410"/>
      <c r="Y810" s="2410"/>
      <c r="Z810" s="2411">
        <v>3</v>
      </c>
      <c r="AA810" s="2411"/>
      <c r="AB810" s="2411"/>
      <c r="AC810" s="2411"/>
      <c r="AD810" s="2411"/>
      <c r="AE810" s="2411"/>
      <c r="AF810" s="2412"/>
      <c r="AG810" s="2412"/>
      <c r="AH810" s="2412"/>
      <c r="AI810" s="2412"/>
      <c r="AJ810" s="2412"/>
      <c r="AK810" s="2412"/>
      <c r="AL810" s="648"/>
      <c r="AM810" s="438"/>
      <c r="AO810" s="398"/>
    </row>
    <row r="811" spans="1:81" ht="13">
      <c r="A811" s="1217" t="s">
        <v>2218</v>
      </c>
      <c r="B811" s="2402" t="s">
        <v>2566</v>
      </c>
      <c r="C811" s="2402"/>
      <c r="D811" s="2402"/>
      <c r="E811" s="2402"/>
      <c r="F811" s="2402"/>
      <c r="G811" s="2402"/>
      <c r="H811" s="2402"/>
      <c r="I811" s="2402"/>
      <c r="J811" s="2402"/>
      <c r="K811" s="2402"/>
      <c r="L811" s="2402"/>
      <c r="M811" s="2402"/>
      <c r="N811" s="2402"/>
      <c r="O811" s="2402"/>
      <c r="P811" s="2402"/>
      <c r="Q811" s="2402"/>
      <c r="R811" s="2402"/>
      <c r="S811" s="2403"/>
      <c r="T811" s="2404">
        <f>AK191</f>
        <v>10</v>
      </c>
      <c r="U811" s="2404"/>
      <c r="V811" s="2404"/>
      <c r="W811" s="2404"/>
      <c r="X811" s="2404"/>
      <c r="Y811" s="2404"/>
      <c r="Z811" s="2370">
        <v>10</v>
      </c>
      <c r="AA811" s="2370"/>
      <c r="AB811" s="2370"/>
      <c r="AC811" s="2370"/>
      <c r="AD811" s="2370"/>
      <c r="AE811" s="2370"/>
      <c r="AF811" s="2370">
        <f>IF(T811&gt;Z811,Z811,T811)</f>
        <v>10</v>
      </c>
      <c r="AG811" s="2370"/>
      <c r="AH811" s="2370"/>
      <c r="AI811" s="2370"/>
      <c r="AJ811" s="2370"/>
      <c r="AK811" s="2370"/>
      <c r="AL811" s="648"/>
      <c r="AM811" s="438"/>
    </row>
    <row r="812" spans="1:81" ht="13">
      <c r="A812" s="649" t="s">
        <v>2228</v>
      </c>
      <c r="B812" s="2402" t="s">
        <v>2229</v>
      </c>
      <c r="C812" s="2402"/>
      <c r="D812" s="2402"/>
      <c r="E812" s="2402"/>
      <c r="F812" s="2402"/>
      <c r="G812" s="2402"/>
      <c r="H812" s="2402"/>
      <c r="I812" s="2402"/>
      <c r="J812" s="2402"/>
      <c r="K812" s="2402"/>
      <c r="L812" s="2402"/>
      <c r="M812" s="2402"/>
      <c r="N812" s="2402"/>
      <c r="O812" s="2402"/>
      <c r="P812" s="2402"/>
      <c r="Q812" s="2402"/>
      <c r="R812" s="2402"/>
      <c r="S812" s="2403"/>
      <c r="T812" s="2404">
        <f>AK273</f>
        <v>8</v>
      </c>
      <c r="U812" s="2404"/>
      <c r="V812" s="2404"/>
      <c r="W812" s="2404"/>
      <c r="X812" s="2404"/>
      <c r="Y812" s="2404"/>
      <c r="Z812" s="2405">
        <v>8</v>
      </c>
      <c r="AA812" s="2406"/>
      <c r="AB812" s="2406"/>
      <c r="AC812" s="2406"/>
      <c r="AD812" s="2406"/>
      <c r="AE812" s="2407"/>
      <c r="AF812" s="2370">
        <f>IF(T812&gt;Z812,Z812,T812)</f>
        <v>8</v>
      </c>
      <c r="AG812" s="2370"/>
      <c r="AH812" s="2370"/>
      <c r="AI812" s="2370"/>
      <c r="AJ812" s="2370"/>
      <c r="AK812" s="2370"/>
      <c r="AL812" s="648"/>
      <c r="AM812" s="438"/>
    </row>
    <row r="813" spans="1:81" s="383" customFormat="1" ht="13" hidden="1">
      <c r="A813" s="1217" t="s">
        <v>1010</v>
      </c>
      <c r="B813" s="2402" t="s">
        <v>2567</v>
      </c>
      <c r="C813" s="2402"/>
      <c r="D813" s="2402"/>
      <c r="E813" s="2402"/>
      <c r="F813" s="2402"/>
      <c r="G813" s="2402"/>
      <c r="H813" s="2402"/>
      <c r="I813" s="2402"/>
      <c r="J813" s="2402"/>
      <c r="K813" s="2402"/>
      <c r="L813" s="2402"/>
      <c r="M813" s="2402"/>
      <c r="N813" s="2402"/>
      <c r="O813" s="2402"/>
      <c r="P813" s="2402"/>
      <c r="Q813" s="2402"/>
      <c r="R813" s="2402"/>
      <c r="S813" s="2403"/>
      <c r="T813" s="2404">
        <f>IF(AK535&gt;5,5,AK535)</f>
        <v>0</v>
      </c>
      <c r="U813" s="2404"/>
      <c r="V813" s="2404"/>
      <c r="W813" s="2404"/>
      <c r="X813" s="2404"/>
      <c r="Y813" s="2404"/>
      <c r="Z813" s="2370">
        <v>5</v>
      </c>
      <c r="AA813" s="2370"/>
      <c r="AB813" s="2370"/>
      <c r="AC813" s="2370"/>
      <c r="AD813" s="2370"/>
      <c r="AE813" s="2370"/>
      <c r="AF813" s="2370">
        <f>IF(T813&gt;Z813,5,T813)</f>
        <v>0</v>
      </c>
      <c r="AG813" s="2370"/>
      <c r="AH813" s="2370"/>
      <c r="AI813" s="2370"/>
      <c r="AJ813" s="2370"/>
      <c r="AK813" s="2370"/>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ht="13">
      <c r="A814" s="649" t="s">
        <v>2281</v>
      </c>
      <c r="B814" s="2402" t="s">
        <v>2568</v>
      </c>
      <c r="C814" s="2402"/>
      <c r="D814" s="2402"/>
      <c r="E814" s="2402"/>
      <c r="F814" s="2402"/>
      <c r="G814" s="2402"/>
      <c r="H814" s="2402"/>
      <c r="I814" s="2402"/>
      <c r="J814" s="2402"/>
      <c r="K814" s="2402"/>
      <c r="L814" s="2402"/>
      <c r="M814" s="2402"/>
      <c r="N814" s="2402"/>
      <c r="O814" s="2402"/>
      <c r="P814" s="2402"/>
      <c r="Q814" s="2402"/>
      <c r="R814" s="2402"/>
      <c r="S814" s="2403"/>
      <c r="T814" s="2404">
        <f>AK285</f>
        <v>10</v>
      </c>
      <c r="U814" s="2404"/>
      <c r="V814" s="2404"/>
      <c r="W814" s="2404"/>
      <c r="X814" s="2404"/>
      <c r="Y814" s="2404"/>
      <c r="Z814" s="2370">
        <v>10</v>
      </c>
      <c r="AA814" s="2370"/>
      <c r="AB814" s="2370"/>
      <c r="AC814" s="2370"/>
      <c r="AD814" s="2370"/>
      <c r="AE814" s="2370"/>
      <c r="AF814" s="2413">
        <f>IF(T814&gt;Z814,Z814,T814)</f>
        <v>10</v>
      </c>
      <c r="AG814" s="2414"/>
      <c r="AH814" s="2414"/>
      <c r="AI814" s="2414"/>
      <c r="AJ814" s="2414"/>
      <c r="AK814" s="2415"/>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ht="13">
      <c r="A815" s="1217" t="s">
        <v>2285</v>
      </c>
      <c r="B815" s="2402" t="s">
        <v>2569</v>
      </c>
      <c r="C815" s="2402"/>
      <c r="D815" s="2402"/>
      <c r="E815" s="2402"/>
      <c r="F815" s="2402"/>
      <c r="G815" s="2402"/>
      <c r="H815" s="2402"/>
      <c r="I815" s="2402"/>
      <c r="J815" s="2402"/>
      <c r="K815" s="2402"/>
      <c r="L815" s="2402"/>
      <c r="M815" s="2402"/>
      <c r="N815" s="2402"/>
      <c r="O815" s="2402"/>
      <c r="P815" s="2402"/>
      <c r="Q815" s="2402"/>
      <c r="R815" s="2402"/>
      <c r="S815" s="2403"/>
      <c r="T815" s="2404">
        <f>AK338</f>
        <v>9</v>
      </c>
      <c r="U815" s="2404"/>
      <c r="V815" s="2404"/>
      <c r="W815" s="2404"/>
      <c r="X815" s="2404"/>
      <c r="Y815" s="2404"/>
      <c r="Z815" s="2413">
        <v>10</v>
      </c>
      <c r="AA815" s="2414"/>
      <c r="AB815" s="2414"/>
      <c r="AC815" s="2414"/>
      <c r="AD815" s="2414"/>
      <c r="AE815" s="2415"/>
      <c r="AF815" s="2413">
        <f>IF(T815&gt;Z815,Z815,T815)</f>
        <v>9</v>
      </c>
      <c r="AG815" s="2414"/>
      <c r="AH815" s="2414"/>
      <c r="AI815" s="2414"/>
      <c r="AJ815" s="2414"/>
      <c r="AK815" s="2415"/>
      <c r="AL815" s="388"/>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t="13" hidden="1">
      <c r="A816" s="1217"/>
      <c r="B816" s="1215"/>
      <c r="C816" s="650" t="s">
        <v>2570</v>
      </c>
      <c r="D816" s="651"/>
      <c r="E816" s="651"/>
      <c r="F816" s="651"/>
      <c r="G816" s="651"/>
      <c r="H816" s="651"/>
      <c r="I816" s="651"/>
      <c r="J816" s="651"/>
      <c r="K816" s="651"/>
      <c r="L816" s="651"/>
      <c r="M816" s="651"/>
      <c r="N816" s="651"/>
      <c r="O816" s="651"/>
      <c r="P816" s="651"/>
      <c r="Q816" s="651"/>
      <c r="R816" s="1215"/>
      <c r="S816" s="1216"/>
      <c r="T816" s="2410">
        <f>AK338</f>
        <v>9</v>
      </c>
      <c r="U816" s="2410"/>
      <c r="V816" s="2410"/>
      <c r="W816" s="2410"/>
      <c r="X816" s="2410"/>
      <c r="Y816" s="2410"/>
      <c r="Z816" s="2358">
        <v>20</v>
      </c>
      <c r="AA816" s="2359"/>
      <c r="AB816" s="2359"/>
      <c r="AC816" s="2359"/>
      <c r="AD816" s="2359"/>
      <c r="AE816" s="2360"/>
      <c r="AF816" s="2412"/>
      <c r="AG816" s="2412"/>
      <c r="AH816" s="2412"/>
      <c r="AI816" s="2412"/>
      <c r="AJ816" s="2412"/>
      <c r="AK816" s="2412"/>
      <c r="AL816" s="388"/>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ht="13">
      <c r="A817" s="1217" t="s">
        <v>2315</v>
      </c>
      <c r="B817" s="2402" t="s">
        <v>2316</v>
      </c>
      <c r="C817" s="2402"/>
      <c r="D817" s="2402"/>
      <c r="E817" s="2402"/>
      <c r="F817" s="2402"/>
      <c r="G817" s="2402"/>
      <c r="H817" s="2402"/>
      <c r="I817" s="2402"/>
      <c r="J817" s="2402"/>
      <c r="K817" s="2402"/>
      <c r="L817" s="2402"/>
      <c r="M817" s="2402"/>
      <c r="N817" s="2402"/>
      <c r="O817" s="2402"/>
      <c r="P817" s="2402"/>
      <c r="Q817" s="2402"/>
      <c r="R817" s="2402"/>
      <c r="S817" s="2403"/>
      <c r="T817" s="2404">
        <f>AK469</f>
        <v>10</v>
      </c>
      <c r="U817" s="2404"/>
      <c r="V817" s="2404"/>
      <c r="W817" s="2404"/>
      <c r="X817" s="2404"/>
      <c r="Y817" s="2404"/>
      <c r="Z817" s="2413">
        <v>10</v>
      </c>
      <c r="AA817" s="2414"/>
      <c r="AB817" s="2414"/>
      <c r="AC817" s="2414"/>
      <c r="AD817" s="2414"/>
      <c r="AE817" s="2415"/>
      <c r="AF817" s="2370">
        <f>IF(T817&gt;Z817,Z817,T817)</f>
        <v>10</v>
      </c>
      <c r="AG817" s="2370"/>
      <c r="AH817" s="2370"/>
      <c r="AI817" s="2370"/>
      <c r="AJ817" s="2370"/>
      <c r="AK817" s="2370"/>
      <c r="AL817" s="388"/>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ht="13">
      <c r="A818" s="1217" t="s">
        <v>2432</v>
      </c>
      <c r="B818" s="2402" t="s">
        <v>2433</v>
      </c>
      <c r="C818" s="2402"/>
      <c r="D818" s="2402"/>
      <c r="E818" s="2402"/>
      <c r="F818" s="2402"/>
      <c r="G818" s="2402"/>
      <c r="H818" s="2402"/>
      <c r="I818" s="2402"/>
      <c r="J818" s="2402"/>
      <c r="K818" s="2402"/>
      <c r="L818" s="2402"/>
      <c r="M818" s="2402"/>
      <c r="N818" s="2402"/>
      <c r="O818" s="2402"/>
      <c r="P818" s="2402"/>
      <c r="Q818" s="2402"/>
      <c r="R818" s="2402"/>
      <c r="S818" s="2403"/>
      <c r="T818" s="2404">
        <f>AK559</f>
        <v>12</v>
      </c>
      <c r="U818" s="2404"/>
      <c r="V818" s="2404"/>
      <c r="W818" s="2404"/>
      <c r="X818" s="2404"/>
      <c r="Y818" s="2404"/>
      <c r="Z818" s="2413">
        <v>12</v>
      </c>
      <c r="AA818" s="2414"/>
      <c r="AB818" s="2414"/>
      <c r="AC818" s="2414"/>
      <c r="AD818" s="2414"/>
      <c r="AE818" s="2415"/>
      <c r="AF818" s="2370">
        <f>IF(T818&gt;Z818,Z818,T818)</f>
        <v>12</v>
      </c>
      <c r="AG818" s="2370"/>
      <c r="AH818" s="2370"/>
      <c r="AI818" s="2370"/>
      <c r="AJ818" s="2370"/>
      <c r="AK818" s="2370"/>
      <c r="AL818" s="388"/>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ht="13">
      <c r="A819" s="1217" t="s">
        <v>2571</v>
      </c>
      <c r="B819" s="2402" t="s">
        <v>2572</v>
      </c>
      <c r="C819" s="2402"/>
      <c r="D819" s="2402"/>
      <c r="E819" s="2402"/>
      <c r="F819" s="2402"/>
      <c r="G819" s="2402"/>
      <c r="H819" s="2402"/>
      <c r="I819" s="2402"/>
      <c r="J819" s="2402"/>
      <c r="K819" s="2402"/>
      <c r="L819" s="2402"/>
      <c r="M819" s="2402"/>
      <c r="N819" s="2402"/>
      <c r="O819" s="2402"/>
      <c r="P819" s="2402"/>
      <c r="Q819" s="2402"/>
      <c r="R819" s="2402"/>
      <c r="S819" s="2403"/>
      <c r="T819" s="2404">
        <f>AK794</f>
        <v>10</v>
      </c>
      <c r="U819" s="2404"/>
      <c r="V819" s="2404"/>
      <c r="W819" s="2404"/>
      <c r="X819" s="2404"/>
      <c r="Y819" s="2404"/>
      <c r="Z819" s="2413">
        <v>10</v>
      </c>
      <c r="AA819" s="2414"/>
      <c r="AB819" s="2414"/>
      <c r="AC819" s="2414"/>
      <c r="AD819" s="2414"/>
      <c r="AE819" s="2415"/>
      <c r="AF819" s="2370">
        <f>IF(T819&gt;Z819,Z819,T819)</f>
        <v>10</v>
      </c>
      <c r="AG819" s="2370"/>
      <c r="AH819" s="2370"/>
      <c r="AI819" s="2370"/>
      <c r="AJ819" s="2370"/>
      <c r="AK819" s="2370"/>
      <c r="AL819" s="388"/>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ht="13">
      <c r="A820" s="2416" t="s">
        <v>2573</v>
      </c>
      <c r="B820" s="2402"/>
      <c r="C820" s="2402"/>
      <c r="D820" s="2402"/>
      <c r="E820" s="2402"/>
      <c r="F820" s="2402"/>
      <c r="G820" s="2402"/>
      <c r="H820" s="2402"/>
      <c r="I820" s="2402"/>
      <c r="J820" s="2402"/>
      <c r="K820" s="2402"/>
      <c r="L820" s="2402"/>
      <c r="M820" s="2402"/>
      <c r="N820" s="2402"/>
      <c r="O820" s="2402"/>
      <c r="P820" s="2402"/>
      <c r="Q820" s="2402"/>
      <c r="R820" s="2402"/>
      <c r="S820" s="2403"/>
      <c r="T820" s="2417"/>
      <c r="U820" s="2417"/>
      <c r="V820" s="2417"/>
      <c r="W820" s="2417"/>
      <c r="X820" s="2417"/>
      <c r="Y820" s="2417"/>
      <c r="Z820" s="2411" t="s">
        <v>2574</v>
      </c>
      <c r="AA820" s="2411"/>
      <c r="AB820" s="2411"/>
      <c r="AC820" s="2411"/>
      <c r="AD820" s="2411"/>
      <c r="AE820" s="2411"/>
      <c r="AF820" s="2413">
        <f>IF(T820&gt;0,T820,0)</f>
        <v>0</v>
      </c>
      <c r="AG820" s="2414"/>
      <c r="AH820" s="2414"/>
      <c r="AI820" s="2414"/>
      <c r="AJ820" s="2414"/>
      <c r="AK820" s="2415"/>
      <c r="AL820" s="1204"/>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5">
      <c r="A821" s="2418" t="s">
        <v>2575</v>
      </c>
      <c r="B821" s="2419"/>
      <c r="C821" s="2419"/>
      <c r="D821" s="2419"/>
      <c r="E821" s="2419"/>
      <c r="F821" s="2419"/>
      <c r="G821" s="2419"/>
      <c r="H821" s="2419"/>
      <c r="I821" s="2419"/>
      <c r="J821" s="2419"/>
      <c r="K821" s="2419"/>
      <c r="L821" s="2419"/>
      <c r="M821" s="2419"/>
      <c r="N821" s="2419"/>
      <c r="O821" s="2419"/>
      <c r="P821" s="2419"/>
      <c r="Q821" s="2419"/>
      <c r="R821" s="2419"/>
      <c r="S821" s="2419"/>
      <c r="T821" s="2419"/>
      <c r="U821" s="2419"/>
      <c r="V821" s="2419"/>
      <c r="W821" s="2419"/>
      <c r="X821" s="2419"/>
      <c r="Y821" s="2419"/>
      <c r="Z821" s="2419"/>
      <c r="AA821" s="2419"/>
      <c r="AB821" s="2419"/>
      <c r="AC821" s="2419"/>
      <c r="AD821" s="2419"/>
      <c r="AE821" s="2420"/>
      <c r="AF821" s="2424">
        <f>SUM(AF804:AK819)-AF820</f>
        <v>119</v>
      </c>
      <c r="AG821" s="2425"/>
      <c r="AH821" s="2425"/>
      <c r="AI821" s="2425"/>
      <c r="AJ821" s="2425"/>
      <c r="AK821" s="2426"/>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5">
      <c r="A822" s="2421"/>
      <c r="B822" s="2422"/>
      <c r="C822" s="2422"/>
      <c r="D822" s="2422"/>
      <c r="E822" s="2422"/>
      <c r="F822" s="2422"/>
      <c r="G822" s="2422"/>
      <c r="H822" s="2422"/>
      <c r="I822" s="2422"/>
      <c r="J822" s="2422"/>
      <c r="K822" s="2422"/>
      <c r="L822" s="2422"/>
      <c r="M822" s="2422"/>
      <c r="N822" s="2422"/>
      <c r="O822" s="2422"/>
      <c r="P822" s="2422"/>
      <c r="Q822" s="2422"/>
      <c r="R822" s="2422"/>
      <c r="S822" s="2422"/>
      <c r="T822" s="2422"/>
      <c r="U822" s="2422"/>
      <c r="V822" s="2422"/>
      <c r="W822" s="2422"/>
      <c r="X822" s="2422"/>
      <c r="Y822" s="2422"/>
      <c r="Z822" s="2422"/>
      <c r="AA822" s="2422"/>
      <c r="AB822" s="2422"/>
      <c r="AC822" s="2422"/>
      <c r="AD822" s="2422"/>
      <c r="AE822" s="2423"/>
      <c r="AF822" s="2427"/>
      <c r="AG822" s="2428"/>
      <c r="AH822" s="2428"/>
      <c r="AI822" s="2428"/>
      <c r="AJ822" s="2428"/>
      <c r="AK822" s="2429"/>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FFLWiIBvIaL8aa8bs7Y8SFdR2hYmTs0iNd8+F3qPt1cN6eAOk0wrk6fU8TGAcLnpGhsDki9pMhEeTR4Gy1M8sg==" saltValue="ZvKlajvy8W/eEiazoDeVJ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Medina, Brandon</cp:lastModifiedBy>
  <cp:revision/>
  <dcterms:created xsi:type="dcterms:W3CDTF">2007-12-27T18:26:28Z</dcterms:created>
  <dcterms:modified xsi:type="dcterms:W3CDTF">2025-01-31T23:37:53Z</dcterms:modified>
  <cp:category/>
  <cp:contentStatus/>
</cp:coreProperties>
</file>